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7965" yWindow="-30" windowWidth="960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F116" i="1"/>
  <c r="G450" i="1" l="1"/>
  <c r="G455" i="1"/>
  <c r="F47" i="1"/>
  <c r="H47" i="1"/>
  <c r="J254" i="1"/>
  <c r="J242" i="1"/>
  <c r="G201" i="1"/>
  <c r="H201" i="1"/>
  <c r="I201" i="1"/>
  <c r="J201" i="1"/>
  <c r="J219" i="1"/>
  <c r="I219" i="1"/>
  <c r="H219" i="1"/>
  <c r="G219" i="1"/>
  <c r="J237" i="1"/>
  <c r="I237" i="1"/>
  <c r="H237" i="1"/>
  <c r="G237" i="1"/>
  <c r="F237" i="1"/>
  <c r="F219" i="1"/>
  <c r="F201" i="1"/>
  <c r="H208" i="1"/>
  <c r="H226" i="1"/>
  <c r="H244" i="1"/>
  <c r="F49" i="1"/>
  <c r="F471" i="1"/>
  <c r="K265" i="1"/>
  <c r="J497" i="1"/>
  <c r="I497" i="1"/>
  <c r="G439" i="1"/>
  <c r="F439" i="1"/>
  <c r="I325" i="1"/>
  <c r="H318" i="1"/>
  <c r="I316" i="1"/>
  <c r="G316" i="1"/>
  <c r="F316" i="1"/>
  <c r="I287" i="1"/>
  <c r="I306" i="1"/>
  <c r="H299" i="1"/>
  <c r="H280" i="1"/>
  <c r="H63" i="1"/>
  <c r="H101" i="1"/>
  <c r="H154" i="1"/>
  <c r="H158" i="1"/>
  <c r="H153" i="1"/>
  <c r="G96" i="1"/>
  <c r="F109" i="1"/>
  <c r="F56" i="1"/>
  <c r="H24" i="1"/>
  <c r="H12" i="1"/>
  <c r="F12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61" i="1" s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103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J110" i="1"/>
  <c r="J111" i="1" s="1"/>
  <c r="F120" i="1"/>
  <c r="F135" i="1"/>
  <c r="G120" i="1"/>
  <c r="G135" i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F528" i="1"/>
  <c r="F533" i="1"/>
  <c r="F54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70" i="1" s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H638" i="1"/>
  <c r="H639" i="1"/>
  <c r="G640" i="1"/>
  <c r="H640" i="1"/>
  <c r="H641" i="1"/>
  <c r="G642" i="1"/>
  <c r="H642" i="1"/>
  <c r="G643" i="1"/>
  <c r="H643" i="1"/>
  <c r="G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K256" i="1"/>
  <c r="K270" i="1" s="1"/>
  <c r="I256" i="1"/>
  <c r="I270" i="1" s="1"/>
  <c r="G256" i="1"/>
  <c r="G270" i="1" s="1"/>
  <c r="C18" i="2"/>
  <c r="F31" i="2"/>
  <c r="C26" i="10"/>
  <c r="L327" i="1"/>
  <c r="H659" i="1" s="1"/>
  <c r="H663" i="1" s="1"/>
  <c r="H671" i="1" s="1"/>
  <c r="C6" i="10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C80" i="2"/>
  <c r="C103" i="2" s="1"/>
  <c r="E77" i="2"/>
  <c r="E80" i="2" s="1"/>
  <c r="L426" i="1"/>
  <c r="J256" i="1"/>
  <c r="H111" i="1"/>
  <c r="F111" i="1"/>
  <c r="J640" i="1"/>
  <c r="J638" i="1"/>
  <c r="K604" i="1"/>
  <c r="G647" i="1"/>
  <c r="J570" i="1"/>
  <c r="K570" i="1"/>
  <c r="L432" i="1"/>
  <c r="L418" i="1"/>
  <c r="L433" i="1" s="1"/>
  <c r="G637" i="1" s="1"/>
  <c r="J637" i="1" s="1"/>
  <c r="D80" i="2"/>
  <c r="I168" i="1"/>
  <c r="H168" i="1"/>
  <c r="J270" i="1"/>
  <c r="E50" i="2"/>
  <c r="J643" i="1"/>
  <c r="J642" i="1"/>
  <c r="J475" i="1"/>
  <c r="H625" i="1" s="1"/>
  <c r="H475" i="1"/>
  <c r="H623" i="1" s="1"/>
  <c r="J623" i="1" s="1"/>
  <c r="F475" i="1"/>
  <c r="H621" i="1"/>
  <c r="J621" i="1" s="1"/>
  <c r="I475" i="1"/>
  <c r="H624" i="1"/>
  <c r="G475" i="1"/>
  <c r="H622" i="1"/>
  <c r="J622" i="1" s="1"/>
  <c r="G337" i="1"/>
  <c r="G351" i="1" s="1"/>
  <c r="D144" i="2"/>
  <c r="C23" i="10"/>
  <c r="F168" i="1"/>
  <c r="J139" i="1"/>
  <c r="F570" i="1"/>
  <c r="H256" i="1"/>
  <c r="H270" i="1" s="1"/>
  <c r="G12" i="2"/>
  <c r="K597" i="1"/>
  <c r="G646" i="1"/>
  <c r="J646" i="1" s="1"/>
  <c r="K544" i="1"/>
  <c r="C29" i="10"/>
  <c r="I660" i="1"/>
  <c r="H139" i="1"/>
  <c r="L400" i="1"/>
  <c r="C138" i="2"/>
  <c r="L392" i="1"/>
  <c r="A13" i="12"/>
  <c r="F22" i="13"/>
  <c r="H25" i="13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C35" i="10"/>
  <c r="L308" i="1"/>
  <c r="G659" i="1" s="1"/>
  <c r="G663" i="1" s="1"/>
  <c r="G671" i="1" s="1"/>
  <c r="C5" i="10" s="1"/>
  <c r="D5" i="13"/>
  <c r="E16" i="13"/>
  <c r="J624" i="1"/>
  <c r="C49" i="2"/>
  <c r="C50" i="2"/>
  <c r="J654" i="1"/>
  <c r="J644" i="1"/>
  <c r="J192" i="1"/>
  <c r="H666" i="1"/>
  <c r="L569" i="1"/>
  <c r="I570" i="1"/>
  <c r="I544" i="1"/>
  <c r="J635" i="1"/>
  <c r="C39" i="10"/>
  <c r="H192" i="1"/>
  <c r="G628" i="1" s="1"/>
  <c r="J628" i="1" s="1"/>
  <c r="L564" i="1"/>
  <c r="L570" i="1" s="1"/>
  <c r="G544" i="1"/>
  <c r="L544" i="1"/>
  <c r="H544" i="1"/>
  <c r="F143" i="2"/>
  <c r="F144" i="2" s="1"/>
  <c r="C5" i="13"/>
  <c r="C22" i="13"/>
  <c r="F33" i="13"/>
  <c r="C137" i="2"/>
  <c r="C140" i="2" s="1"/>
  <c r="C143" i="2" s="1"/>
  <c r="C144" i="2" s="1"/>
  <c r="L407" i="1"/>
  <c r="G636" i="1" s="1"/>
  <c r="J636" i="1" s="1"/>
  <c r="C16" i="13"/>
  <c r="E33" i="13"/>
  <c r="D35" i="13" s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66" i="1"/>
  <c r="F544" i="1" l="1"/>
  <c r="F139" i="1"/>
  <c r="F192" i="1" s="1"/>
  <c r="G626" i="1" s="1"/>
  <c r="J626" i="1" s="1"/>
  <c r="G36" i="2"/>
  <c r="G49" i="2" s="1"/>
  <c r="J50" i="1"/>
  <c r="G625" i="1" s="1"/>
  <c r="J625" i="1" s="1"/>
  <c r="G8" i="2"/>
  <c r="J19" i="1"/>
  <c r="G620" i="1" s="1"/>
  <c r="I551" i="1"/>
  <c r="G551" i="1"/>
  <c r="K549" i="1"/>
  <c r="J551" i="1"/>
  <c r="H551" i="1"/>
  <c r="K550" i="1"/>
  <c r="K551" i="1" s="1"/>
  <c r="K548" i="1"/>
  <c r="F551" i="1"/>
  <c r="D33" i="13"/>
  <c r="D36" i="13" s="1"/>
  <c r="H645" i="1"/>
  <c r="J645" i="1" s="1"/>
  <c r="J641" i="1"/>
  <c r="H433" i="1"/>
  <c r="L255" i="1"/>
  <c r="L256" i="1" s="1"/>
  <c r="L270" i="1" s="1"/>
  <c r="G631" i="1" s="1"/>
  <c r="J631" i="1" s="1"/>
  <c r="G139" i="1"/>
  <c r="G192" i="1" s="1"/>
  <c r="G627" i="1" s="1"/>
  <c r="J627" i="1" s="1"/>
  <c r="I111" i="1"/>
  <c r="C36" i="10" s="1"/>
  <c r="I662" i="1"/>
  <c r="D103" i="2"/>
  <c r="J651" i="1"/>
  <c r="I433" i="1"/>
  <c r="G433" i="1"/>
  <c r="J616" i="1"/>
  <c r="G159" i="2"/>
  <c r="G33" i="13"/>
  <c r="A22" i="12"/>
  <c r="F663" i="1"/>
  <c r="I659" i="1"/>
  <c r="I663" i="1" s="1"/>
  <c r="J351" i="1"/>
  <c r="H647" i="1"/>
  <c r="J647" i="1" s="1"/>
  <c r="G163" i="2"/>
  <c r="G21" i="2"/>
  <c r="G31" i="2" s="1"/>
  <c r="G50" i="2" s="1"/>
  <c r="J32" i="1"/>
  <c r="J51" i="1" s="1"/>
  <c r="H620" i="1" s="1"/>
  <c r="J620" i="1" s="1"/>
  <c r="G18" i="2"/>
  <c r="I192" i="1"/>
  <c r="G629" i="1" s="1"/>
  <c r="J629" i="1" s="1"/>
  <c r="F103" i="2"/>
  <c r="G160" i="2"/>
  <c r="C27" i="10"/>
  <c r="G634" i="1"/>
  <c r="J634" i="1" s="1"/>
  <c r="K502" i="1"/>
  <c r="C38" i="10" l="1"/>
  <c r="C28" i="10"/>
  <c r="D27" i="10" s="1"/>
  <c r="F671" i="1"/>
  <c r="C4" i="10" s="1"/>
  <c r="F666" i="1"/>
  <c r="I671" i="1"/>
  <c r="C7" i="10" s="1"/>
  <c r="I666" i="1"/>
  <c r="H655" i="1"/>
  <c r="C41" i="10" l="1"/>
  <c r="D23" i="10"/>
  <c r="D24" i="10"/>
  <c r="D22" i="10"/>
  <c r="D15" i="10"/>
  <c r="D19" i="10"/>
  <c r="D16" i="10"/>
  <c r="D12" i="10"/>
  <c r="D21" i="10"/>
  <c r="D25" i="10"/>
  <c r="C30" i="10"/>
  <c r="D17" i="10"/>
  <c r="D11" i="10"/>
  <c r="D26" i="10"/>
  <c r="D18" i="10"/>
  <c r="D13" i="10"/>
  <c r="D20" i="10"/>
  <c r="D10" i="10"/>
  <c r="D28" i="10" s="1"/>
  <c r="D35" i="10" l="1"/>
  <c r="D37" i="10"/>
  <c r="D40" i="10"/>
  <c r="D39" i="10"/>
  <c r="D36" i="10"/>
  <c r="D38" i="10"/>
  <c r="D41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<sst xmlns="http://schemas.openxmlformats.org/spreadsheetml/2006/main" count="3949" uniqueCount="916">
  <si>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</si>
  <si>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</si>
  <si>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</si>
  <si>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</si>
  <si>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</si>
  <si>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</si>
  <si>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</si>
  <si>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</si>
  <si>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</si>
  <si>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</si>
  <si>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</si>
  <si>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</si>
  <si>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</si>
  <si>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</si>
  <si>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</si>
  <si>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</si>
  <si>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</si>
  <si>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</si>
  <si>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</si>
  <si>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</si>
  <si>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</si>
  <si>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</si>
  <si>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</si>
  <si>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</si>
  <si>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</si>
  <si>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</si>
  <si>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</si>
  <si>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</si>
  <si>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</si>
  <si>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</si>
  <si>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</si>
  <si>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</si>
  <si>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</si>
  <si>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</si>
  <si>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</si>
  <si>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</si>
  <si>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</si>
  <si>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</si>
  <si>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</si>
  <si>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</si>
  <si>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</si>
  <si>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</si>
  <si>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</si>
  <si>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</si>
  <si>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</si>
  <si>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</si>
  <si>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</si>
  <si>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</si>
  <si>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</si>
  <si>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</si>
  <si>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</si>
  <si>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</si>
  <si>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</si>
  <si>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</si>
  <si>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</si>
  <si>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</si>
  <si>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</si>
  <si>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</si>
  <si>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</si>
  <si>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</si>
  <si>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</si>
  <si>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</si>
  <si>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</si>
  <si>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</si>
  <si>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</si>
  <si>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</si>
  <si>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</si>
  <si>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</si>
  <si>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</si>
  <si>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</si>
  <si>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</si>
  <si>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</si>
  <si>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</si>
  <si>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</si>
  <si>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</si>
  <si>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</si>
  <si>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</si>
  <si>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</si>
  <si>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</si>
  <si>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</si>
  <si>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</si>
  <si>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</si>
  <si>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</si>
  <si>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</si>
  <si>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</si>
  <si>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</si>
  <si>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</si>
  <si>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</si>
  <si>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</si>
  <si>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</si>
  <si>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</si>
  <si>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</si>
  <si>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</si>
  <si>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</si>
  <si>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</si>
  <si>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</si>
  <si>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</si>
  <si>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</si>
  <si>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</si>
  <si>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</si>
  <si>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</si>
  <si>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</si>
  <si>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</si>
  <si>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</si>
  <si>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</si>
  <si>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</si>
  <si>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</si>
  <si>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</si>
  <si>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</si>
  <si>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</si>
  <si>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</si>
  <si>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</si>
  <si>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</si>
  <si>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</si>
  <si>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</si>
  <si>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</si>
  <si>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</si>
  <si>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</si>
  <si>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</si>
  <si>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</si>
  <si>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</si>
  <si>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</si>
  <si>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</si>
  <si>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</si>
  <si>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</si>
  <si>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</si>
  <si>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</si>
  <si>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</si>
  <si>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</si>
  <si>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</si>
  <si>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</si>
  <si>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</si>
  <si>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</si>
  <si>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</si>
  <si>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</si>
  <si>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</si>
  <si>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</si>
  <si>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</si>
  <si>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</si>
  <si>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</si>
  <si>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</si>
  <si>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</si>
  <si>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</si>
  <si>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</si>
  <si>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</si>
  <si>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</si>
  <si>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</si>
  <si>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</si>
  <si>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</si>
  <si>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</si>
  <si>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</si>
  <si>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</si>
  <si>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</si>
  <si>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</si>
  <si>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</si>
  <si>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</si>
  <si>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</si>
  <si>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</si>
  <si>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</si>
  <si>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</si>
  <si>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</si>
  <si>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</si>
  <si>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</si>
  <si>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</si>
  <si>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</si>
  <si>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</si>
  <si>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</si>
  <si>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</si>
  <si>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</si>
  <si>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</si>
  <si>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</si>
  <si>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</si>
  <si>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</si>
  <si>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</si>
  <si>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</si>
  <si>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</si>
  <si>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</si>
  <si>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</si>
  <si>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</si>
  <si>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</si>
  <si>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</si>
  <si>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</si>
  <si>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</si>
  <si>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</si>
  <si>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</si>
  <si>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</si>
  <si>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</si>
  <si>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</si>
  <si>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</si>
  <si>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</si>
  <si>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</si>
  <si>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</si>
  <si>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</si>
  <si>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</si>
  <si>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</si>
  <si>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</si>
  <si>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</si>
  <si>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</si>
  <si>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</si>
  <si>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</si>
  <si>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</si>
  <si>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</si>
  <si>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</si>
  <si>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</si>
  <si>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</si>
  <si>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</si>
  <si>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</si>
  <si>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</si>
  <si>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</si>
  <si>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</si>
  <si>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</si>
  <si>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</si>
  <si>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</si>
  <si>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</si>
  <si>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</si>
  <si>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</si>
  <si>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</si>
  <si>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</si>
  <si>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</si>
  <si>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</si>
  <si>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</si>
  <si>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</si>
  <si>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</si>
  <si>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</si>
  <si>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</si>
  <si>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</si>
  <si>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</si>
  <si>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</si>
  <si>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</si>
  <si>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</si>
  <si>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</si>
  <si>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</si>
  <si>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</si>
  <si>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</si>
  <si>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</si>
  <si>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</si>
  <si>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</si>
  <si>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</si>
  <si>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</si>
  <si>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</si>
  <si>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</si>
  <si>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</si>
  <si>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</si>
  <si>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</si>
  <si>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</si>
  <si>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</si>
  <si>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</si>
  <si>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</si>
  <si>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</si>
  <si>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</si>
  <si>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</si>
  <si>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</si>
  <si>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</si>
  <si>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</si>
  <si>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</si>
  <si>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</si>
  <si>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</si>
  <si>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</si>
  <si>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</si>
  <si>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</si>
  <si>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</si>
  <si>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</si>
  <si>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</si>
  <si>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</si>
  <si>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</si>
  <si>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</si>
  <si>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</si>
  <si>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</si>
  <si>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</si>
  <si>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</si>
  <si>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</si>
  <si>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</si>
  <si>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</si>
  <si>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</si>
  <si>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</si>
  <si>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</si>
  <si>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</si>
  <si>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</si>
  <si>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</si>
  <si>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</si>
  <si>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</si>
  <si>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</si>
  <si>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</si>
  <si>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</si>
  <si>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</si>
  <si>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</si>
  <si>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</si>
  <si>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</si>
  <si>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</si>
  <si>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</si>
  <si>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</si>
  <si>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</si>
  <si>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</si>
  <si>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</si>
  <si>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</si>
  <si>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</si>
  <si>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</si>
  <si>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</si>
  <si>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</si>
  <si>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</si>
  <si>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</si>
  <si>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</si>
  <si>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</si>
  <si>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</si>
  <si>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</si>
  <si>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</si>
  <si>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</si>
  <si>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</si>
  <si>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</si>
  <si>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</si>
  <si>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</si>
  <si>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</si>
  <si>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</si>
  <si>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</si>
  <si>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</si>
  <si>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</si>
  <si>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</si>
  <si>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</si>
  <si>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</si>
  <si>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</si>
  <si>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</si>
  <si>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</si>
  <si>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</si>
  <si>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</si>
  <si>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</si>
  <si>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</si>
  <si>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</si>
  <si>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</si>
  <si>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</si>
  <si>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</si>
  <si>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</si>
  <si>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</si>
  <si>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</si>
  <si>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</si>
  <si>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</si>
  <si>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</si>
  <si>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</si>
  <si>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</si>
  <si>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</si>
  <si>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</si>
  <si>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</si>
  <si>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</si>
  <si>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</si>
  <si>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</si>
  <si>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</si>
  <si>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</si>
  <si>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</si>
  <si>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</si>
  <si>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</si>
  <si>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</si>
  <si>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</si>
  <si>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</si>
  <si>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</si>
  <si>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</si>
  <si>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</si>
  <si>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</si>
  <si>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</si>
  <si>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</si>
  <si>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</si>
  <si>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</si>
  <si>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</si>
  <si>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</si>
  <si>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</si>
  <si>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</si>
  <si>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</si>
  <si>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</si>
  <si>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</si>
  <si>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</si>
  <si>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</si>
  <si>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</si>
  <si>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</si>
  <si>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</si>
  <si>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</si>
  <si>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</si>
  <si>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</si>
  <si>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</si>
  <si>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</si>
  <si>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</si>
  <si>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</si>
  <si>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</si>
  <si>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</si>
  <si>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</si>
  <si>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</si>
  <si>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</si>
  <si>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</si>
  <si>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</si>
  <si>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</si>
  <si>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</si>
  <si>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</si>
  <si>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</si>
  <si>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</si>
  <si>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</si>
  <si>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</si>
  <si>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</si>
  <si>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</si>
  <si>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</si>
  <si>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</si>
  <si>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</si>
  <si>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</si>
  <si>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</si>
  <si>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</si>
  <si>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</si>
  <si>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</si>
  <si>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</si>
  <si>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</si>
  <si>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</si>
  <si>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</si>
  <si>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</si>
  <si>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</si>
  <si>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</si>
  <si>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</si>
  <si>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</si>
  <si>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</si>
  <si>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</si>
  <si>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</si>
  <si>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</si>
  <si>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</si>
  <si>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</si>
  <si>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</si>
  <si>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</si>
  <si>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</si>
  <si>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</si>
  <si>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</si>
  <si>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</si>
  <si>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</si>
  <si>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</si>
  <si>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</si>
  <si>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</si>
  <si>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</si>
  <si>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</si>
  <si>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</si>
  <si>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</si>
  <si>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</si>
  <si>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</si>
  <si>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</si>
  <si>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</si>
  <si>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</si>
  <si>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</si>
  <si>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</si>
  <si>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</si>
  <si>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</si>
  <si>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</si>
  <si>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</si>
  <si>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</si>
  <si>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</si>
  <si>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</si>
  <si>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</si>
  <si>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</si>
  <si>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</si>
  <si>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</si>
  <si>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</si>
  <si>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</si>
  <si>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</si>
  <si>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</si>
  <si>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</si>
  <si>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</si>
  <si>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</si>
  <si>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</si>
  <si>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</si>
  <si>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</si>
  <si>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</si>
  <si>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</si>
  <si>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</si>
  <si>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</si>
  <si>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</si>
  <si>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</si>
  <si>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</si>
  <si>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</si>
  <si>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</si>
  <si>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</si>
  <si>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</si>
  <si>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</si>
  <si>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</si>
  <si>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</si>
  <si>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</si>
  <si>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</si>
  <si>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</si>
  <si>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</si>
  <si>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</si>
  <si>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</si>
  <si>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</si>
  <si>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</si>
  <si>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</si>
  <si>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</si>
  <si>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</si>
  <si>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</si>
  <si>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</si>
  <si>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</si>
  <si>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</si>
  <si>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</si>
  <si>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</si>
  <si>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</si>
  <si>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</si>
  <si>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</si>
  <si>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</si>
  <si>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</si>
  <si>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</si>
  <si>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</si>
  <si>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</si>
  <si>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</si>
  <si>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</si>
  <si>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</si>
  <si>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</si>
  <si>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</si>
  <si>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</si>
  <si>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</si>
  <si>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</si>
  <si>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</si>
  <si>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</si>
  <si>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</si>
  <si>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</si>
  <si>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</si>
  <si>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</si>
  <si>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</si>
  <si>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</si>
  <si>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</si>
  <si>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</si>
  <si>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</si>
  <si>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</si>
  <si>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</si>
  <si>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</si>
  <si>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</si>
  <si>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</si>
  <si>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</si>
  <si>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</si>
  <si>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</si>
  <si>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</si>
  <si>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</si>
  <si>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</si>
  <si>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</si>
  <si>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</si>
  <si>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</si>
  <si>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</si>
  <si>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</si>
  <si>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</si>
  <si>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</si>
  <si>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</si>
  <si>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</si>
  <si>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</si>
  <si>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</si>
  <si>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</si>
  <si>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</si>
  <si>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</si>
  <si>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</si>
  <si>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</si>
  <si>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</si>
  <si>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</si>
  <si>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</si>
  <si>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</si>
  <si>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</si>
  <si>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</si>
  <si>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</si>
  <si>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</si>
  <si>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</si>
  <si>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</si>
  <si>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</si>
  <si>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</si>
  <si>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</si>
  <si>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</si>
  <si>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</si>
  <si>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</si>
  <si>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</si>
  <si>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</si>
  <si>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</si>
  <si>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</si>
  <si>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</si>
  <si>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</si>
  <si>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</si>
  <si>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</si>
  <si>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</si>
  <si>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</si>
  <si>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</si>
  <si>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</si>
  <si>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</si>
  <si>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</si>
  <si>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</si>
  <si>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</si>
  <si>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</si>
  <si>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</si>
  <si>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</si>
  <si>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</si>
  <si>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</si>
  <si>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</si>
  <si>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</si>
  <si>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</si>
  <si>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</si>
  <si>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</si>
  <si>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</si>
  <si>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</si>
  <si>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</si>
  <si>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</si>
  <si>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</si>
  <si>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</si>
  <si>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</si>
  <si>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</si>
  <si>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</si>
  <si>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</si>
  <si>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</si>
  <si>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</si>
  <si>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</si>
  <si>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</si>
  <si>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</si>
  <si>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</si>
  <si>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</si>
  <si>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</si>
  <si>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</si>
  <si>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</si>
  <si>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</si>
  <si>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</si>
  <si>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</si>
  <si>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</si>
  <si>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</si>
  <si>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</si>
  <si>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</si>
  <si>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</si>
  <si>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</si>
  <si>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</si>
  <si>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</si>
  <si>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</si>
  <si>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</si>
  <si>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</si>
  <si>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</si>
  <si>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</si>
  <si>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</si>
  <si>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</si>
  <si>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</si>
  <si>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</si>
  <si>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</si>
  <si>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</si>
  <si>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</si>
  <si>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</si>
  <si>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</si>
  <si>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</si>
  <si>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</si>
  <si>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</si>
  <si>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</si>
  <si>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</si>
  <si>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</si>
  <si>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</si>
  <si>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</si>
  <si>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</si>
  <si>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</si>
  <si>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</si>
  <si>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</si>
  <si>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</si>
  <si>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</si>
  <si>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</si>
  <si>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</si>
  <si>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</si>
  <si>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</si>
  <si>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</si>
  <si>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</si>
  <si>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</si>
  <si>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</si>
  <si>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</si>
  <si>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</si>
  <si>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</si>
  <si>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</si>
  <si>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</si>
  <si>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</si>
  <si>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</si>
  <si>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</si>
  <si>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</si>
  <si>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</si>
  <si>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</si>
  <si>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</si>
  <si>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</si>
  <si>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</si>
  <si>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</si>
  <si>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</si>
  <si>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</si>
  <si>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</si>
  <si>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</si>
  <si>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</si>
  <si>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</si>
  <si>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</si>
  <si>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</si>
  <si>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</si>
  <si>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</si>
  <si>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</si>
  <si>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</si>
  <si>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</si>
  <si>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</si>
  <si>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</si>
  <si>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</si>
  <si>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</si>
  <si>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</si>
  <si>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</si>
  <si>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</si>
  <si>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</si>
  <si>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</si>
  <si>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</si>
  <si>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</si>
  <si>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</si>
  <si>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</si>
  <si>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</si>
  <si>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</si>
  <si>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</si>
  <si>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</si>
  <si>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</si>
  <si>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</si>
  <si>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</si>
  <si>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</si>
  <si>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</si>
  <si>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</si>
  <si>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</si>
  <si>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</si>
  <si>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</si>
  <si>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</si>
  <si>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</si>
  <si>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</si>
  <si>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</si>
  <si>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</si>
  <si>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</si>
  <si>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</si>
  <si>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</si>
  <si>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</si>
  <si>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</si>
  <si>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</si>
  <si>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</si>
  <si>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</si>
  <si>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</si>
  <si>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</si>
  <si>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</si>
  <si>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</si>
  <si>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</si>
  <si>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</si>
  <si>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</si>
  <si>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</si>
  <si>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</si>
  <si>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</si>
  <si>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</si>
  <si>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</si>
  <si>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</si>
  <si>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</si>
  <si>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</si>
  <si>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</si>
  <si>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</si>
  <si>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</si>
  <si>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</si>
  <si>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</si>
  <si>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</si>
  <si>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</si>
  <si>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</si>
  <si>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</si>
  <si>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</si>
  <si>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</si>
  <si>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</si>
  <si>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</si>
  <si>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</si>
  <si>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</si>
  <si>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</si>
  <si>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</si>
  <si>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</si>
  <si>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</si>
  <si>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</si>
  <si>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</si>
  <si>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</si>
  <si>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</si>
  <si>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</si>
  <si>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</si>
  <si>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</si>
  <si>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</si>
  <si>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</si>
  <si>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</si>
  <si>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</si>
  <si>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</si>
  <si>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</si>
  <si>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</si>
  <si>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</si>
  <si>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</si>
  <si>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</si>
  <si>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</si>
  <si>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</si>
  <si>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</si>
  <si>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</si>
  <si>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</si>
  <si>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</si>
  <si>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</si>
  <si>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</si>
  <si>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</si>
  <si>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</si>
  <si>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</si>
  <si>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</si>
  <si>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</si>
  <si>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</si>
  <si>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</si>
  <si>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</si>
  <si>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</si>
  <si>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</si>
  <si>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</si>
  <si>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</si>
  <si>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</si>
  <si>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</si>
  <si>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</si>
  <si>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</si>
  <si>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</si>
  <si>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</si>
  <si>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</si>
  <si>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</si>
  <si>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</si>
  <si>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</si>
  <si>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</si>
  <si>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</si>
  <si>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</si>
  <si>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</si>
  <si>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</si>
  <si>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</si>
  <si>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</si>
  <si>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</si>
  <si>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</si>
  <si>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</si>
  <si>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</si>
  <si>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</si>
  <si>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</si>
  <si>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</si>
  <si>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</si>
  <si>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</si>
  <si>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</si>
  <si>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</si>
  <si>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</si>
  <si>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</si>
  <si>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</si>
  <si>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</si>
  <si>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</si>
  <si>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</si>
  <si>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</si>
  <si>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</si>
  <si>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</si>
  <si>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</si>
  <si>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</si>
  <si>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</si>
  <si>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</si>
  <si>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</si>
  <si>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</si>
  <si>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</si>
  <si>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</si>
  <si>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</si>
  <si>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</si>
  <si>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</si>
  <si>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</si>
  <si>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</si>
  <si>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</si>
  <si>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</si>
  <si>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</si>
  <si>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</si>
  <si>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</si>
  <si>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</si>
  <si>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</si>
  <si>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</si>
  <si>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</si>
  <si>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</si>
  <si>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</si>
  <si>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</si>
  <si>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</si>
  <si>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</si>
  <si>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</si>
  <si>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</si>
  <si>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</si>
  <si>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</si>
  <si>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</si>
  <si>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</si>
  <si>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</si>
  <si>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</si>
  <si>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</si>
  <si>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</si>
  <si>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</si>
  <si>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</si>
  <si>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</si>
  <si>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</si>
  <si>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</si>
  <si>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</si>
  <si>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</si>
  <si>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</si>
  <si>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</si>
  <si>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</si>
  <si>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</si>
  <si>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</si>
  <si>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</si>
  <si>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</si>
  <si>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</si>
  <si>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</si>
  <si>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</si>
  <si>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</si>
  <si>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</si>
  <si>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</si>
  <si>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</si>
  <si>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</si>
  <si>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</si>
  <si>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</si>
  <si>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</si>
  <si>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</si>
  <si>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</si>
  <si>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</si>
  <si>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</si>
  <si>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</si>
  <si>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</si>
  <si>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</si>
  <si>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</si>
  <si>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</si>
  <si>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</si>
  <si>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</si>
  <si>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</si>
  <si>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</si>
  <si>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</si>
  <si>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</si>
  <si>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</si>
  <si>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</si>
  <si>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</si>
  <si>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07/11</t>
  </si>
  <si>
    <t>11/01</t>
  </si>
  <si>
    <t>06/97</t>
  </si>
  <si>
    <t>08/03</t>
  </si>
  <si>
    <t>11/21</t>
  </si>
  <si>
    <t>02/23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</si>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</sst>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5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915</v>
      </c>
      <c r="B2" s="21">
        <v>423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1648389.85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1178013.6400000001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166551.48-10206.1-4721</f>
        <v>151624.38</v>
      </c>
      <c r="G12" s="18">
        <v>10206.1</v>
      </c>
      <c r="H12" s="18">
        <f>-166551.48-5294.25+4721+5294.25</f>
        <v>-161830.48000000001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272172.84999999998</v>
      </c>
      <c r="G14" s="18">
        <v>16210.58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23233.75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>
        <v>12902.16</v>
      </c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2095420.83</v>
      </c>
      <c r="G19" s="41">
        <f>SUM(G9:G18)</f>
        <v>26416.68</v>
      </c>
      <c r="H19" s="41">
        <f>SUM(H9:H18)</f>
        <v>-148928.32000000001</v>
      </c>
      <c r="I19" s="41">
        <f>SUM(I9:I18)</f>
        <v>0</v>
      </c>
      <c r="J19" s="41">
        <f>SUM(J9:J18)</f>
        <v>1178013.6400000001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69007.100000000006</v>
      </c>
      <c r="G24" s="18">
        <v>404.61</v>
      </c>
      <c r="H24" s="18">
        <f>1222.45+114.47</f>
        <v>1336.92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762544.48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18375</v>
      </c>
      <c r="G30" s="18">
        <v>26012.07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12919.85</v>
      </c>
      <c r="G31" s="18"/>
      <c r="H31" s="18"/>
      <c r="I31" s="18"/>
      <c r="J31" s="67">
        <f>SUM(I450)</f>
        <v>6.81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862846.42999999993</v>
      </c>
      <c r="G32" s="41">
        <f>SUM(G22:G31)</f>
        <v>26416.68</v>
      </c>
      <c r="H32" s="41">
        <f>SUM(H22:H31)</f>
        <v>1336.92</v>
      </c>
      <c r="I32" s="41">
        <f>SUM(I22:I31)</f>
        <v>0</v>
      </c>
      <c r="J32" s="41">
        <f>SUM(J22:J31)</f>
        <v>6.81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1178006.83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f>167161.25-12919.85</f>
        <v>154241.4</v>
      </c>
      <c r="G47" s="18"/>
      <c r="H47" s="18">
        <f>-320803.4-22190.73-106559.17+264195.17+12902.16</f>
        <v>-172455.97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88162.82</v>
      </c>
      <c r="G48" s="18"/>
      <c r="H48" s="18">
        <v>22190.73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1703227.43-88162.82-624894.43</f>
        <v>990170.17999999982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1232574.3999999999</v>
      </c>
      <c r="G50" s="41">
        <f>SUM(G35:G49)</f>
        <v>0</v>
      </c>
      <c r="H50" s="41">
        <f>SUM(H35:H49)</f>
        <v>-150265.24</v>
      </c>
      <c r="I50" s="41">
        <f>SUM(I35:I49)</f>
        <v>0</v>
      </c>
      <c r="J50" s="41">
        <f>SUM(J35:J49)</f>
        <v>1178006.83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2095420.8299999998</v>
      </c>
      <c r="G51" s="41">
        <f>G50+G32</f>
        <v>26416.68</v>
      </c>
      <c r="H51" s="41">
        <f>H50+H32</f>
        <v>-148928.31999999998</v>
      </c>
      <c r="I51" s="41">
        <f>I50+I32</f>
        <v>0</v>
      </c>
      <c r="J51" s="41">
        <f>J50+J32</f>
        <v>1178013.6400000001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14089125+7316841+3800216</f>
        <v>25206182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25206182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16966.48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2350</v>
      </c>
      <c r="G63" s="24" t="s">
        <v>289</v>
      </c>
      <c r="H63" s="18">
        <f>3520+4890</f>
        <v>8410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612786.84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632103.31999999995</v>
      </c>
      <c r="G78" s="45" t="s">
        <v>289</v>
      </c>
      <c r="H78" s="41">
        <f>SUM(H62:H77)</f>
        <v>8410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14854.54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14854.54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9290.83</v>
      </c>
      <c r="G95" s="18"/>
      <c r="H95" s="18"/>
      <c r="I95" s="18"/>
      <c r="J95" s="18">
        <v>509.98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464692.49+4876.37+117+1371.98+1187.5+1474.3</f>
        <v>473719.63999999996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27960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8390.97+2000</f>
        <v>10390.969999999999</v>
      </c>
      <c r="I101" s="18"/>
      <c r="J101" s="18">
        <v>6016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9423.28+29047.83</f>
        <v>38471.11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75721.94</v>
      </c>
      <c r="G110" s="41">
        <f>SUM(G95:G109)</f>
        <v>473719.63999999996</v>
      </c>
      <c r="H110" s="41">
        <f>SUM(H95:H109)</f>
        <v>10390.969999999999</v>
      </c>
      <c r="I110" s="41">
        <f>SUM(I95:I109)</f>
        <v>0</v>
      </c>
      <c r="J110" s="41">
        <f>SUM(J95:J109)</f>
        <v>6525.98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25928861.800000001</v>
      </c>
      <c r="G111" s="41">
        <f>G59+G110</f>
        <v>473719.63999999996</v>
      </c>
      <c r="H111" s="41">
        <f>H59+H78+H93+H110</f>
        <v>18800.97</v>
      </c>
      <c r="I111" s="41">
        <f>I59+I110</f>
        <v>0</v>
      </c>
      <c r="J111" s="41">
        <f>J59+J110</f>
        <v>6525.98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4914022-4253.99</f>
        <v>4909768.01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2062013+1012897+520742</f>
        <v>3595652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4253.99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8509674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552618.23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75410.31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2154.52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4978.91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630183.06000000006</v>
      </c>
      <c r="G135" s="41">
        <f>SUM(G122:G134)</f>
        <v>4978.91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9139857.0600000005</v>
      </c>
      <c r="G139" s="41">
        <f>G120+SUM(G135:G136)</f>
        <v>4978.91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12243.6+3779.41+3719.94+161562.53+21408.68</f>
        <v>202714.16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84480.18+68146.54+180762.88+21287.92+3413.83</f>
        <v>358091.35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14316.79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67659.92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198419.98+260704.41+130363.47</f>
        <v>589487.86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164851.82999999999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17600.13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182451.96</v>
      </c>
      <c r="G161" s="41">
        <f>SUM(G149:G160)</f>
        <v>67659.92</v>
      </c>
      <c r="H161" s="41">
        <f>SUM(H149:H160)</f>
        <v>1164610.1600000001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182451.96</v>
      </c>
      <c r="G168" s="41">
        <f>G146+G161+SUM(G162:G167)</f>
        <v>67659.92</v>
      </c>
      <c r="H168" s="41">
        <f>H146+H161+SUM(H162:H167)</f>
        <v>1164610.1600000001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98080.14</v>
      </c>
      <c r="H178" s="18"/>
      <c r="I178" s="18"/>
      <c r="J178" s="18">
        <v>125000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98080.14</v>
      </c>
      <c r="H182" s="41">
        <f>SUM(H178:H181)</f>
        <v>0</v>
      </c>
      <c r="I182" s="41">
        <f>SUM(I178:I181)</f>
        <v>0</v>
      </c>
      <c r="J182" s="41">
        <f>SUM(J178:J181)</f>
        <v>125000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132050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132050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111750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243800</v>
      </c>
      <c r="G191" s="41">
        <f>G182+SUM(G187:G190)</f>
        <v>98080.14</v>
      </c>
      <c r="H191" s="41">
        <f>+H182+SUM(H187:H190)</f>
        <v>0</v>
      </c>
      <c r="I191" s="41">
        <f>I176+I182+SUM(I187:I190)</f>
        <v>0</v>
      </c>
      <c r="J191" s="41">
        <f>J182</f>
        <v>125000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35494970.82</v>
      </c>
      <c r="G192" s="47">
        <f>G111+G139+G168+G191</f>
        <v>644438.61</v>
      </c>
      <c r="H192" s="47">
        <f>H111+H139+H168+H191</f>
        <v>1183411.1300000001</v>
      </c>
      <c r="I192" s="47">
        <f>I111+I139+I168+I191</f>
        <v>0</v>
      </c>
      <c r="J192" s="47">
        <f>J111+J139+J191</f>
        <v>131525.98000000001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3245472.61</v>
      </c>
      <c r="G196" s="18">
        <v>1160264.75</v>
      </c>
      <c r="H196" s="18">
        <v>22729.85</v>
      </c>
      <c r="I196" s="18">
        <v>106576.24</v>
      </c>
      <c r="J196" s="18">
        <v>37468.94</v>
      </c>
      <c r="K196" s="18"/>
      <c r="L196" s="19">
        <f>SUM(F196:K196)</f>
        <v>4572512.3899999997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1398580.7</v>
      </c>
      <c r="G197" s="18">
        <v>495728.42</v>
      </c>
      <c r="H197" s="18">
        <v>849263.696</v>
      </c>
      <c r="I197" s="18">
        <v>5516.37</v>
      </c>
      <c r="J197" s="18">
        <v>3718.74</v>
      </c>
      <c r="K197" s="18">
        <v>4587.37</v>
      </c>
      <c r="L197" s="19">
        <f>SUM(F197:K197)</f>
        <v>2757395.2960000001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53041.52</v>
      </c>
      <c r="G199" s="18">
        <v>7023.99</v>
      </c>
      <c r="H199" s="18">
        <v>50258.400000000001</v>
      </c>
      <c r="I199" s="18">
        <v>2399.08</v>
      </c>
      <c r="J199" s="18"/>
      <c r="K199" s="18"/>
      <c r="L199" s="19">
        <f>SUM(F199:K199)</f>
        <v>112722.99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619773.35+74102.3</f>
        <v>693875.65</v>
      </c>
      <c r="G201" s="18">
        <f>317683.67+29838.18</f>
        <v>347521.85</v>
      </c>
      <c r="H201" s="18">
        <f>3199.34820461384+61595.66</f>
        <v>64795.008204613841</v>
      </c>
      <c r="I201" s="18">
        <f>7860.42+10277.41</f>
        <v>18137.830000000002</v>
      </c>
      <c r="J201" s="18">
        <f>933.75+3429.32</f>
        <v>4363.07</v>
      </c>
      <c r="K201" s="18">
        <v>0</v>
      </c>
      <c r="L201" s="19">
        <f t="shared" ref="L201:L207" si="0">SUM(F201:K201)</f>
        <v>1128693.408204614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248182.97655967902</v>
      </c>
      <c r="G202" s="18">
        <v>60531.34332998997</v>
      </c>
      <c r="H202" s="18">
        <v>34443.579358074225</v>
      </c>
      <c r="I202" s="18">
        <v>40471.934884653965</v>
      </c>
      <c r="J202" s="18">
        <v>7782.3932296890671</v>
      </c>
      <c r="K202" s="18">
        <v>0</v>
      </c>
      <c r="L202" s="19">
        <f t="shared" si="0"/>
        <v>391412.22736208624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248540.11131394183</v>
      </c>
      <c r="G203" s="18">
        <v>133614.24805416248</v>
      </c>
      <c r="H203" s="18">
        <v>50055.395235707118</v>
      </c>
      <c r="I203" s="18">
        <v>4736.0987963891666</v>
      </c>
      <c r="J203" s="18">
        <v>1560.6967903711134</v>
      </c>
      <c r="K203" s="18">
        <v>4765.698746238716</v>
      </c>
      <c r="L203" s="19">
        <f t="shared" si="0"/>
        <v>443272.24893681041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348659.13</v>
      </c>
      <c r="G204" s="18">
        <v>153487.78</v>
      </c>
      <c r="H204" s="18">
        <v>5825.99</v>
      </c>
      <c r="I204" s="18">
        <v>11803.01</v>
      </c>
      <c r="J204" s="18">
        <v>0</v>
      </c>
      <c r="K204" s="18">
        <v>1632</v>
      </c>
      <c r="L204" s="19">
        <f t="shared" si="0"/>
        <v>521407.91000000003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84952.760481444348</v>
      </c>
      <c r="G205" s="18">
        <v>39775.670561685052</v>
      </c>
      <c r="H205" s="18">
        <v>56537.499398194581</v>
      </c>
      <c r="I205" s="18">
        <v>1837.0342026078235</v>
      </c>
      <c r="J205" s="18">
        <v>171.37918756268806</v>
      </c>
      <c r="K205" s="18">
        <v>697.18154463390169</v>
      </c>
      <c r="L205" s="19">
        <f t="shared" si="0"/>
        <v>183971.52537612838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257428.69880104769</v>
      </c>
      <c r="G206" s="18">
        <v>160898.01021616606</v>
      </c>
      <c r="H206" s="18">
        <v>356063.51377939043</v>
      </c>
      <c r="I206" s="18">
        <v>190238.30728391037</v>
      </c>
      <c r="J206" s="18">
        <v>9562.4117051743287</v>
      </c>
      <c r="K206" s="18"/>
      <c r="L206" s="19">
        <f t="shared" si="0"/>
        <v>974190.94178568898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390241.97</v>
      </c>
      <c r="G207" s="18">
        <v>279504.83</v>
      </c>
      <c r="H207" s="18">
        <v>123993.86</v>
      </c>
      <c r="I207" s="18">
        <v>91033.794999999998</v>
      </c>
      <c r="J207" s="18">
        <v>13815.97</v>
      </c>
      <c r="K207" s="18">
        <v>676.25</v>
      </c>
      <c r="L207" s="19">
        <f t="shared" si="0"/>
        <v>899266.67500000005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525.03</f>
        <v>525.03</v>
      </c>
      <c r="I208" s="18"/>
      <c r="J208" s="18"/>
      <c r="K208" s="18">
        <v>2386.2800000000002</v>
      </c>
      <c r="L208" s="19">
        <f>SUM(F208:K208)</f>
        <v>2911.3100000000004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6968976.1271561123</v>
      </c>
      <c r="G210" s="41">
        <f t="shared" si="1"/>
        <v>2838350.8921620036</v>
      </c>
      <c r="H210" s="41">
        <f t="shared" si="1"/>
        <v>1614491.8219759802</v>
      </c>
      <c r="I210" s="41">
        <f t="shared" si="1"/>
        <v>472749.7001675613</v>
      </c>
      <c r="J210" s="41">
        <f t="shared" si="1"/>
        <v>78443.600912797192</v>
      </c>
      <c r="K210" s="41">
        <f t="shared" si="1"/>
        <v>14744.780290872619</v>
      </c>
      <c r="L210" s="41">
        <f t="shared" si="1"/>
        <v>11987756.92266533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3319830.8</v>
      </c>
      <c r="G214" s="18">
        <v>1253760.1100000001</v>
      </c>
      <c r="H214" s="18">
        <v>22049.55</v>
      </c>
      <c r="I214" s="18">
        <v>84364.3</v>
      </c>
      <c r="J214" s="18">
        <v>69989.09</v>
      </c>
      <c r="K214" s="18"/>
      <c r="L214" s="19">
        <f>SUM(F214:K214)</f>
        <v>4749993.8499999996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1089381.92</v>
      </c>
      <c r="G215" s="18">
        <v>374231.83</v>
      </c>
      <c r="H215" s="18">
        <v>197312.99400000001</v>
      </c>
      <c r="I215" s="18">
        <v>7336.6</v>
      </c>
      <c r="J215" s="18">
        <v>10360</v>
      </c>
      <c r="K215" s="18">
        <v>4464.3599999999997</v>
      </c>
      <c r="L215" s="19">
        <f>SUM(F215:K215)</f>
        <v>1683087.7040000001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98008.34</v>
      </c>
      <c r="G217" s="18">
        <v>15090.13</v>
      </c>
      <c r="H217" s="18">
        <v>11987.34</v>
      </c>
      <c r="I217" s="18">
        <v>11062.56</v>
      </c>
      <c r="J217" s="18"/>
      <c r="K217" s="18"/>
      <c r="L217" s="19">
        <f>SUM(F217:K217)</f>
        <v>136148.37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605018.69+86989.66</f>
        <v>692008.35</v>
      </c>
      <c r="G219" s="18">
        <f>175964.77+35027.46</f>
        <v>210992.22999999998</v>
      </c>
      <c r="H219" s="18">
        <f>6932.11925777332+62395.19</f>
        <v>69327.309257773319</v>
      </c>
      <c r="I219" s="18">
        <f>4119.34+2303.2</f>
        <v>6422.54</v>
      </c>
      <c r="J219" s="18">
        <f>0+4025.72</f>
        <v>4025.72</v>
      </c>
      <c r="K219" s="18">
        <v>0</v>
      </c>
      <c r="L219" s="19">
        <f t="shared" ref="L219:L225" si="2">SUM(F219:K219)</f>
        <v>982776.1492577733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144232.87561685056</v>
      </c>
      <c r="G220" s="18">
        <v>53730.575175526581</v>
      </c>
      <c r="H220" s="18">
        <v>41645.533701103312</v>
      </c>
      <c r="I220" s="18">
        <v>35607.063555667002</v>
      </c>
      <c r="J220" s="18">
        <v>7868.8804413239723</v>
      </c>
      <c r="K220" s="18">
        <v>0</v>
      </c>
      <c r="L220" s="19">
        <f t="shared" si="2"/>
        <v>283084.92849047144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234120.11601805413</v>
      </c>
      <c r="G221" s="18">
        <v>116926.08715646942</v>
      </c>
      <c r="H221" s="18">
        <v>43759.070125376122</v>
      </c>
      <c r="I221" s="18">
        <v>4075.7131895687066</v>
      </c>
      <c r="J221" s="18">
        <v>1343.0785055165495</v>
      </c>
      <c r="K221" s="18">
        <v>4101.1858224674015</v>
      </c>
      <c r="L221" s="19">
        <f t="shared" si="2"/>
        <v>404325.25081745232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257632.34</v>
      </c>
      <c r="G222" s="18">
        <v>137644.26999999999</v>
      </c>
      <c r="H222" s="18">
        <v>1534.23</v>
      </c>
      <c r="I222" s="18">
        <v>4191.84</v>
      </c>
      <c r="J222" s="18">
        <v>0</v>
      </c>
      <c r="K222" s="18">
        <v>719</v>
      </c>
      <c r="L222" s="19">
        <f t="shared" si="2"/>
        <v>401721.68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73107.234724172522</v>
      </c>
      <c r="G223" s="18">
        <v>34229.485511534607</v>
      </c>
      <c r="H223" s="18">
        <v>48654.101594784355</v>
      </c>
      <c r="I223" s="18">
        <v>1580.8843630892679</v>
      </c>
      <c r="J223" s="18">
        <v>147.48265295887663</v>
      </c>
      <c r="K223" s="18">
        <v>599.96890672016048</v>
      </c>
      <c r="L223" s="19">
        <f t="shared" si="2"/>
        <v>158319.15775325982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277193.72831592243</v>
      </c>
      <c r="G224" s="18">
        <v>157260.67880074197</v>
      </c>
      <c r="H224" s="18">
        <v>309561.72149359452</v>
      </c>
      <c r="I224" s="18">
        <v>176898.11734098391</v>
      </c>
      <c r="J224" s="18">
        <v>34004.699620562787</v>
      </c>
      <c r="K224" s="18"/>
      <c r="L224" s="19">
        <f t="shared" si="2"/>
        <v>954918.9455718057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204952.59</v>
      </c>
      <c r="G225" s="18">
        <v>139423.94499999998</v>
      </c>
      <c r="H225" s="18">
        <v>65282.78</v>
      </c>
      <c r="I225" s="18">
        <v>47766.897499999999</v>
      </c>
      <c r="J225" s="18">
        <v>6907.9849999999997</v>
      </c>
      <c r="K225" s="18">
        <v>338.125</v>
      </c>
      <c r="L225" s="19">
        <f t="shared" si="2"/>
        <v>464672.32249999995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520.18</f>
        <v>520.17999999999995</v>
      </c>
      <c r="I226" s="18"/>
      <c r="J226" s="18"/>
      <c r="K226" s="18">
        <v>2053.5500000000002</v>
      </c>
      <c r="L226" s="19">
        <f>SUM(F226:K226)</f>
        <v>2573.73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6390468.2946749981</v>
      </c>
      <c r="G228" s="41">
        <f>SUM(G214:G227)</f>
        <v>2493289.3416442722</v>
      </c>
      <c r="H228" s="41">
        <f>SUM(H214:H227)</f>
        <v>811634.81017263164</v>
      </c>
      <c r="I228" s="41">
        <f>SUM(I214:I227)</f>
        <v>379306.51594930893</v>
      </c>
      <c r="J228" s="41">
        <f>SUM(J214:J227)</f>
        <v>134646.93622036217</v>
      </c>
      <c r="K228" s="41">
        <f t="shared" si="3"/>
        <v>12276.189729187561</v>
      </c>
      <c r="L228" s="41">
        <f t="shared" si="3"/>
        <v>10221622.088390762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3242277.15</v>
      </c>
      <c r="G232" s="18">
        <v>1410375.99</v>
      </c>
      <c r="H232" s="18">
        <v>19832.79</v>
      </c>
      <c r="I232" s="18">
        <v>103426.82</v>
      </c>
      <c r="J232" s="18">
        <v>45411.28</v>
      </c>
      <c r="K232" s="18">
        <v>146</v>
      </c>
      <c r="L232" s="19">
        <f>SUM(F232:K232)</f>
        <v>4821470.03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1144398.77</v>
      </c>
      <c r="G233" s="18">
        <v>459215.02</v>
      </c>
      <c r="H233" s="18">
        <v>368598.91</v>
      </c>
      <c r="I233" s="18">
        <v>3854.36</v>
      </c>
      <c r="J233" s="18">
        <v>4403.8599999999997</v>
      </c>
      <c r="K233" s="18">
        <v>4644.37</v>
      </c>
      <c r="L233" s="19">
        <f>SUM(F233:K233)</f>
        <v>1985115.2900000003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18832.64</v>
      </c>
      <c r="I234" s="18"/>
      <c r="J234" s="18"/>
      <c r="K234" s="18"/>
      <c r="L234" s="19">
        <f>SUM(F234:K234)</f>
        <v>18832.64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244069.68</v>
      </c>
      <c r="G235" s="18">
        <v>48757.26</v>
      </c>
      <c r="H235" s="18">
        <v>75509.05</v>
      </c>
      <c r="I235" s="18">
        <v>36954.879999999997</v>
      </c>
      <c r="J235" s="18">
        <v>251.09</v>
      </c>
      <c r="K235" s="18">
        <v>34255.25</v>
      </c>
      <c r="L235" s="19">
        <f>SUM(F235:K235)</f>
        <v>439797.21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559978.08+161091.97</f>
        <v>721070.04999999993</v>
      </c>
      <c r="G237" s="18">
        <f>221148.66+64865.66</f>
        <v>286014.32</v>
      </c>
      <c r="H237" s="18">
        <f>15780.0125376128+63811.52</f>
        <v>79591.532537612802</v>
      </c>
      <c r="I237" s="18">
        <f>4505.54+4265.2</f>
        <v>8770.74</v>
      </c>
      <c r="J237" s="18">
        <f>200+7455.05</f>
        <v>7655.05</v>
      </c>
      <c r="K237" s="18">
        <v>25</v>
      </c>
      <c r="L237" s="19">
        <f t="shared" ref="L237:L243" si="4">SUM(F237:K237)</f>
        <v>1103126.6925376127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143604.23782347041</v>
      </c>
      <c r="G238" s="18">
        <v>49748.991494483445</v>
      </c>
      <c r="H238" s="18">
        <v>31852.34694082247</v>
      </c>
      <c r="I238" s="18">
        <v>39150.991559679038</v>
      </c>
      <c r="J238" s="18">
        <v>3947.3963289869607</v>
      </c>
      <c r="K238" s="18">
        <v>0</v>
      </c>
      <c r="L238" s="19">
        <f t="shared" si="4"/>
        <v>268303.96414744237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165501.95266800403</v>
      </c>
      <c r="G239" s="18">
        <v>91868.924789368117</v>
      </c>
      <c r="H239" s="18">
        <v>47946.874638916772</v>
      </c>
      <c r="I239" s="18">
        <v>4489.2880140421266</v>
      </c>
      <c r="J239" s="18">
        <v>1479.364704112337</v>
      </c>
      <c r="K239" s="18">
        <v>4517.3454312938811</v>
      </c>
      <c r="L239" s="19">
        <f t="shared" si="4"/>
        <v>315803.75024573726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371396.89</v>
      </c>
      <c r="G240" s="18">
        <v>155955.51999999999</v>
      </c>
      <c r="H240" s="18">
        <v>67891.13</v>
      </c>
      <c r="I240" s="18">
        <v>19427.96</v>
      </c>
      <c r="J240" s="18">
        <v>1018</v>
      </c>
      <c r="K240" s="18">
        <v>5922.95</v>
      </c>
      <c r="L240" s="19">
        <f t="shared" si="4"/>
        <v>621612.44999999995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80525.644794383144</v>
      </c>
      <c r="G241" s="18">
        <v>37702.853926780335</v>
      </c>
      <c r="H241" s="18">
        <v>53591.179007021063</v>
      </c>
      <c r="I241" s="18">
        <v>1741.3014343029085</v>
      </c>
      <c r="J241" s="18">
        <v>162.44815947843531</v>
      </c>
      <c r="K241" s="18">
        <v>660.84954864593783</v>
      </c>
      <c r="L241" s="19">
        <f t="shared" si="4"/>
        <v>174384.27687061182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424201.56288302981</v>
      </c>
      <c r="G242" s="18">
        <v>220329.42098309193</v>
      </c>
      <c r="H242" s="18">
        <v>328852.95472701517</v>
      </c>
      <c r="I242" s="18">
        <v>366199.03537510574</v>
      </c>
      <c r="J242" s="18">
        <f>23233.3186742629</f>
        <v>23233.3186742629</v>
      </c>
      <c r="K242" s="18"/>
      <c r="L242" s="19">
        <f t="shared" si="4"/>
        <v>1362816.2926425054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256308.84</v>
      </c>
      <c r="G243" s="18">
        <v>150678.32499999998</v>
      </c>
      <c r="H243" s="18">
        <v>87276.43</v>
      </c>
      <c r="I243" s="18">
        <v>62300.897499999999</v>
      </c>
      <c r="J243" s="18">
        <v>6907.9849999999997</v>
      </c>
      <c r="K243" s="18">
        <v>338.125</v>
      </c>
      <c r="L243" s="19">
        <f t="shared" si="4"/>
        <v>563810.60249999992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620.79</f>
        <v>620.79</v>
      </c>
      <c r="I244" s="18"/>
      <c r="J244" s="18"/>
      <c r="K244" s="18">
        <v>2261.92</v>
      </c>
      <c r="L244" s="19">
        <f>SUM(F244:K244)</f>
        <v>2882.71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6793354.778168886</v>
      </c>
      <c r="G246" s="41">
        <f t="shared" si="5"/>
        <v>2910646.6261937236</v>
      </c>
      <c r="H246" s="41">
        <f t="shared" si="5"/>
        <v>1180396.6278513882</v>
      </c>
      <c r="I246" s="41">
        <f t="shared" si="5"/>
        <v>646316.2738831297</v>
      </c>
      <c r="J246" s="41">
        <f t="shared" si="5"/>
        <v>94469.792866840638</v>
      </c>
      <c r="K246" s="41">
        <f t="shared" si="5"/>
        <v>52771.809979939811</v>
      </c>
      <c r="L246" s="41">
        <f t="shared" si="5"/>
        <v>11677955.90894391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f>36284.23+243800</f>
        <v>280084.23</v>
      </c>
      <c r="K254" s="18">
        <v>3871.67</v>
      </c>
      <c r="L254" s="19">
        <f t="shared" si="6"/>
        <v>283955.89999999997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280084.23</v>
      </c>
      <c r="K255" s="41">
        <f t="shared" si="7"/>
        <v>3871.67</v>
      </c>
      <c r="L255" s="41">
        <f>SUM(F255:K255)</f>
        <v>283955.89999999997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20152799.199999996</v>
      </c>
      <c r="G256" s="41">
        <f t="shared" si="8"/>
        <v>8242286.8599999994</v>
      </c>
      <c r="H256" s="41">
        <f t="shared" si="8"/>
        <v>3606523.26</v>
      </c>
      <c r="I256" s="41">
        <f t="shared" si="8"/>
        <v>1498372.49</v>
      </c>
      <c r="J256" s="41">
        <f t="shared" si="8"/>
        <v>587644.55999999994</v>
      </c>
      <c r="K256" s="41">
        <f t="shared" si="8"/>
        <v>83664.45</v>
      </c>
      <c r="L256" s="41">
        <f t="shared" si="8"/>
        <v>34171290.82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1185000</v>
      </c>
      <c r="L259" s="19">
        <f>SUM(F259:K259)</f>
        <v>1185000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540495</v>
      </c>
      <c r="L260" s="19">
        <f>SUM(F260:K260)</f>
        <v>540495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98080.14</v>
      </c>
      <c r="L262" s="19">
        <f>SUM(F262:K262)</f>
        <v>98080.14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125000</f>
        <v>125000</v>
      </c>
      <c r="L265" s="19">
        <f t="shared" si="9"/>
        <v>125000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1948575.14</v>
      </c>
      <c r="L269" s="41">
        <f t="shared" si="9"/>
        <v>1948575.14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20152799.199999996</v>
      </c>
      <c r="G270" s="42">
        <f t="shared" si="11"/>
        <v>8242286.8599999994</v>
      </c>
      <c r="H270" s="42">
        <f t="shared" si="11"/>
        <v>3606523.26</v>
      </c>
      <c r="I270" s="42">
        <f t="shared" si="11"/>
        <v>1498372.49</v>
      </c>
      <c r="J270" s="42">
        <f t="shared" si="11"/>
        <v>587644.55999999994</v>
      </c>
      <c r="K270" s="42">
        <f t="shared" si="11"/>
        <v>2032239.5899999999</v>
      </c>
      <c r="L270" s="42">
        <f t="shared" si="11"/>
        <v>36119865.960000001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250792.02</v>
      </c>
      <c r="G275" s="18">
        <v>97369.76</v>
      </c>
      <c r="H275" s="18">
        <v>15579.81</v>
      </c>
      <c r="I275" s="18">
        <v>8921.1200000000008</v>
      </c>
      <c r="J275" s="18">
        <v>4399.8</v>
      </c>
      <c r="K275" s="18">
        <v>50</v>
      </c>
      <c r="L275" s="19">
        <f>SUM(F275:K275)</f>
        <v>377112.50999999995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2270.23</v>
      </c>
      <c r="G276" s="18">
        <v>277.49</v>
      </c>
      <c r="H276" s="18">
        <v>23290.46</v>
      </c>
      <c r="I276" s="18">
        <v>1997.01</v>
      </c>
      <c r="J276" s="18">
        <v>-18</v>
      </c>
      <c r="K276" s="18"/>
      <c r="L276" s="19">
        <f>SUM(F276:K276)</f>
        <v>27817.19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6068.18</v>
      </c>
      <c r="G278" s="18">
        <v>803.16</v>
      </c>
      <c r="H278" s="18"/>
      <c r="I278" s="18">
        <v>744.79</v>
      </c>
      <c r="J278" s="18"/>
      <c r="K278" s="18"/>
      <c r="L278" s="19">
        <f>SUM(F278:K278)</f>
        <v>7616.13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2456.08+1379.82</f>
        <v>3835.8999999999996</v>
      </c>
      <c r="I280" s="18"/>
      <c r="J280" s="18"/>
      <c r="K280" s="18"/>
      <c r="L280" s="19">
        <f t="shared" ref="L280:L286" si="12">SUM(F280:K280)</f>
        <v>3835.8999999999996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660.54</v>
      </c>
      <c r="I281" s="18"/>
      <c r="J281" s="18"/>
      <c r="K281" s="18"/>
      <c r="L281" s="19">
        <f t="shared" si="12"/>
        <v>660.54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413.95</v>
      </c>
      <c r="L284" s="19">
        <f t="shared" si="12"/>
        <v>413.95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177.69</v>
      </c>
      <c r="I286" s="18"/>
      <c r="J286" s="18"/>
      <c r="K286" s="18"/>
      <c r="L286" s="19">
        <f t="shared" si="12"/>
        <v>177.69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>
        <f>830.1+41.39</f>
        <v>871.49</v>
      </c>
      <c r="J287" s="18"/>
      <c r="K287" s="18"/>
      <c r="L287" s="19">
        <f>SUM(F287:K287)</f>
        <v>871.49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259130.43</v>
      </c>
      <c r="G289" s="42">
        <f t="shared" si="13"/>
        <v>98450.41</v>
      </c>
      <c r="H289" s="42">
        <f t="shared" si="13"/>
        <v>43544.4</v>
      </c>
      <c r="I289" s="42">
        <f t="shared" si="13"/>
        <v>12534.410000000002</v>
      </c>
      <c r="J289" s="42">
        <f t="shared" si="13"/>
        <v>4381.8</v>
      </c>
      <c r="K289" s="42">
        <f t="shared" si="13"/>
        <v>463.95</v>
      </c>
      <c r="L289" s="41">
        <f t="shared" si="13"/>
        <v>418505.39999999997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59911.01</v>
      </c>
      <c r="G294" s="18">
        <v>35341.46</v>
      </c>
      <c r="H294" s="18">
        <v>735.91</v>
      </c>
      <c r="I294" s="18">
        <v>-846.66</v>
      </c>
      <c r="J294" s="18">
        <v>-1794.96</v>
      </c>
      <c r="K294" s="18"/>
      <c r="L294" s="19">
        <f>SUM(F294:K294)</f>
        <v>93346.76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198173.19</v>
      </c>
      <c r="G295" s="18">
        <v>98161.600000000006</v>
      </c>
      <c r="H295" s="18">
        <v>11631.48</v>
      </c>
      <c r="I295" s="18">
        <v>2246.0100000000002</v>
      </c>
      <c r="J295" s="18"/>
      <c r="K295" s="18"/>
      <c r="L295" s="19">
        <f>SUM(F295:K295)</f>
        <v>310212.28000000003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8090.91</v>
      </c>
      <c r="G297" s="18">
        <v>1070.8800000000001</v>
      </c>
      <c r="H297" s="18"/>
      <c r="I297" s="18">
        <v>993.06</v>
      </c>
      <c r="J297" s="18"/>
      <c r="K297" s="18"/>
      <c r="L297" s="19">
        <f>SUM(F297:K297)</f>
        <v>10154.85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f>3274.78+1839.76</f>
        <v>5114.54</v>
      </c>
      <c r="I299" s="18"/>
      <c r="J299" s="18"/>
      <c r="K299" s="18"/>
      <c r="L299" s="19">
        <f t="shared" ref="L299:L305" si="14">SUM(F299:K299)</f>
        <v>5114.54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367.95</v>
      </c>
      <c r="I300" s="18"/>
      <c r="J300" s="18"/>
      <c r="K300" s="18"/>
      <c r="L300" s="19">
        <f t="shared" si="14"/>
        <v>367.95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551.92999999999995</v>
      </c>
      <c r="L303" s="19">
        <f t="shared" si="14"/>
        <v>551.92999999999995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236.92</v>
      </c>
      <c r="I305" s="18"/>
      <c r="J305" s="18"/>
      <c r="K305" s="18"/>
      <c r="L305" s="19">
        <f t="shared" si="14"/>
        <v>236.92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>
        <f>125+55.18</f>
        <v>180.18</v>
      </c>
      <c r="J306" s="18"/>
      <c r="K306" s="18"/>
      <c r="L306" s="19">
        <f>SUM(F306:K306)</f>
        <v>180.18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266175.11</v>
      </c>
      <c r="G308" s="42">
        <f t="shared" si="15"/>
        <v>134573.94</v>
      </c>
      <c r="H308" s="42">
        <f t="shared" si="15"/>
        <v>18086.8</v>
      </c>
      <c r="I308" s="42">
        <f t="shared" si="15"/>
        <v>2572.59</v>
      </c>
      <c r="J308" s="42">
        <f t="shared" si="15"/>
        <v>-1794.96</v>
      </c>
      <c r="K308" s="42">
        <f t="shared" si="15"/>
        <v>551.92999999999995</v>
      </c>
      <c r="L308" s="41">
        <f t="shared" si="15"/>
        <v>420165.41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3960.01</v>
      </c>
      <c r="G313" s="18">
        <v>726.56</v>
      </c>
      <c r="H313" s="18">
        <v>712.17</v>
      </c>
      <c r="I313" s="18">
        <v>156.82</v>
      </c>
      <c r="J313" s="18"/>
      <c r="K313" s="18"/>
      <c r="L313" s="19">
        <f>SUM(F313:K313)</f>
        <v>5555.5599999999995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31715.119999999999</v>
      </c>
      <c r="G314" s="18">
        <v>11709.56</v>
      </c>
      <c r="H314" s="18">
        <v>10882.06</v>
      </c>
      <c r="I314" s="18">
        <v>2160.5700000000002</v>
      </c>
      <c r="J314" s="18"/>
      <c r="K314" s="18"/>
      <c r="L314" s="19">
        <f>SUM(F314:K314)</f>
        <v>56467.31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7829.91+1425</f>
        <v>9254.91</v>
      </c>
      <c r="G316" s="18">
        <f>1036.33+297.34</f>
        <v>1333.6699999999998</v>
      </c>
      <c r="H316" s="18">
        <v>430.73</v>
      </c>
      <c r="I316" s="18">
        <f>961.02+294.49</f>
        <v>1255.51</v>
      </c>
      <c r="J316" s="18"/>
      <c r="K316" s="18"/>
      <c r="L316" s="19">
        <f>SUM(F316:K316)</f>
        <v>12274.82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3169.14+1780.42</f>
        <v>4949.5599999999995</v>
      </c>
      <c r="I318" s="18"/>
      <c r="J318" s="18"/>
      <c r="K318" s="18"/>
      <c r="L318" s="19">
        <f t="shared" ref="L318:L324" si="16">SUM(F318:K318)</f>
        <v>4949.5599999999995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356.08</v>
      </c>
      <c r="I319" s="18"/>
      <c r="J319" s="18"/>
      <c r="K319" s="18"/>
      <c r="L319" s="19">
        <f t="shared" si="16"/>
        <v>356.08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534.12</v>
      </c>
      <c r="L322" s="19">
        <f t="shared" si="16"/>
        <v>534.12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229.28</v>
      </c>
      <c r="I324" s="18"/>
      <c r="J324" s="18"/>
      <c r="K324" s="18"/>
      <c r="L324" s="19">
        <f t="shared" si="16"/>
        <v>229.28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>
        <f>125+53.4</f>
        <v>178.4</v>
      </c>
      <c r="J325" s="18"/>
      <c r="K325" s="18"/>
      <c r="L325" s="19">
        <f>SUM(F325:K325)</f>
        <v>178.4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44930.039999999994</v>
      </c>
      <c r="G327" s="42">
        <f t="shared" si="17"/>
        <v>13769.789999999999</v>
      </c>
      <c r="H327" s="42">
        <f t="shared" si="17"/>
        <v>17559.879999999997</v>
      </c>
      <c r="I327" s="42">
        <f t="shared" si="17"/>
        <v>3751.3000000000006</v>
      </c>
      <c r="J327" s="42">
        <f t="shared" si="17"/>
        <v>0</v>
      </c>
      <c r="K327" s="42">
        <f t="shared" si="17"/>
        <v>534.12</v>
      </c>
      <c r="L327" s="41">
        <f t="shared" si="17"/>
        <v>80545.12999999999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570235.58000000007</v>
      </c>
      <c r="G337" s="41">
        <f t="shared" si="20"/>
        <v>246794.14</v>
      </c>
      <c r="H337" s="41">
        <f t="shared" si="20"/>
        <v>79191.079999999987</v>
      </c>
      <c r="I337" s="41">
        <f t="shared" si="20"/>
        <v>18858.300000000003</v>
      </c>
      <c r="J337" s="41">
        <f t="shared" si="20"/>
        <v>2586.84</v>
      </c>
      <c r="K337" s="41">
        <f t="shared" si="20"/>
        <v>1550</v>
      </c>
      <c r="L337" s="41">
        <f t="shared" si="20"/>
        <v>919215.94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570235.58000000007</v>
      </c>
      <c r="G351" s="41">
        <f>G337</f>
        <v>246794.14</v>
      </c>
      <c r="H351" s="41">
        <f>H337</f>
        <v>79191.079999999987</v>
      </c>
      <c r="I351" s="41">
        <f>I337</f>
        <v>18858.300000000003</v>
      </c>
      <c r="J351" s="41">
        <f>J337</f>
        <v>2586.84</v>
      </c>
      <c r="K351" s="47">
        <f>K337+K350</f>
        <v>1550</v>
      </c>
      <c r="L351" s="41">
        <f>L337+L350</f>
        <v>919215.94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118453.12061183552</v>
      </c>
      <c r="G357" s="18">
        <v>13858.88665997994</v>
      </c>
      <c r="H357" s="18">
        <v>8746.496529588765</v>
      </c>
      <c r="I357" s="18">
        <v>65354.385295887667</v>
      </c>
      <c r="J357" s="18">
        <v>1846.769107321966</v>
      </c>
      <c r="K357" s="18">
        <v>614.24874623871619</v>
      </c>
      <c r="L357" s="13">
        <f>SUM(F357:K357)</f>
        <v>208873.9069508526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101936.41787863591</v>
      </c>
      <c r="G358" s="18">
        <v>11926.450351053161</v>
      </c>
      <c r="H358" s="18">
        <v>8339.5071965897696</v>
      </c>
      <c r="I358" s="18">
        <v>71768.971965897683</v>
      </c>
      <c r="J358" s="18">
        <v>1589.2618655967906</v>
      </c>
      <c r="K358" s="18">
        <v>463.5658224674022</v>
      </c>
      <c r="L358" s="19">
        <f>SUM(F358:K358)</f>
        <v>196024.1750802407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112280.21150952857</v>
      </c>
      <c r="G359" s="18">
        <v>13136.662988966898</v>
      </c>
      <c r="H359" s="18">
        <v>7624.0762738214644</v>
      </c>
      <c r="I359" s="18">
        <v>103969.36273821464</v>
      </c>
      <c r="J359" s="18">
        <v>1750.5290270812438</v>
      </c>
      <c r="K359" s="18">
        <v>779.68543129388161</v>
      </c>
      <c r="L359" s="19">
        <f>SUM(F359:K359)</f>
        <v>239540.52796890668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332669.75</v>
      </c>
      <c r="G361" s="47">
        <f t="shared" si="22"/>
        <v>38922</v>
      </c>
      <c r="H361" s="47">
        <f t="shared" si="22"/>
        <v>24710.079999999998</v>
      </c>
      <c r="I361" s="47">
        <f t="shared" si="22"/>
        <v>241092.72</v>
      </c>
      <c r="J361" s="47">
        <f t="shared" si="22"/>
        <v>5186.5600000000004</v>
      </c>
      <c r="K361" s="47">
        <f t="shared" si="22"/>
        <v>1857.5</v>
      </c>
      <c r="L361" s="47">
        <f t="shared" si="22"/>
        <v>644438.61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56913.709809428285</v>
      </c>
      <c r="G366" s="18">
        <v>64066.820005015041</v>
      </c>
      <c r="H366" s="18">
        <v>94124.740185556671</v>
      </c>
      <c r="I366" s="56">
        <f>SUM(F366:H366)</f>
        <v>215105.27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8440.6754864593786</v>
      </c>
      <c r="G367" s="63">
        <v>7702.1519608826475</v>
      </c>
      <c r="H367" s="63">
        <v>9844.6225526579747</v>
      </c>
      <c r="I367" s="56">
        <f>SUM(F367:H367)</f>
        <v>25987.45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65354.385295887667</v>
      </c>
      <c r="G368" s="47">
        <f>SUM(G366:G367)</f>
        <v>71768.971965897683</v>
      </c>
      <c r="H368" s="47">
        <f>SUM(H366:H367)</f>
        <v>103969.36273821465</v>
      </c>
      <c r="I368" s="47">
        <f>SUM(I366:I367)</f>
        <v>241092.72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79.13</v>
      </c>
      <c r="I388" s="18"/>
      <c r="J388" s="24" t="s">
        <v>289</v>
      </c>
      <c r="K388" s="24" t="s">
        <v>289</v>
      </c>
      <c r="L388" s="56">
        <f t="shared" si="25"/>
        <v>79.13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79.13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79.13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75000</v>
      </c>
      <c r="H395" s="18">
        <v>11.31</v>
      </c>
      <c r="I395" s="18"/>
      <c r="J395" s="24" t="s">
        <v>289</v>
      </c>
      <c r="K395" s="24" t="s">
        <v>289</v>
      </c>
      <c r="L395" s="56">
        <f t="shared" si="26"/>
        <v>75011.31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183.52</v>
      </c>
      <c r="I396" s="18"/>
      <c r="J396" s="24" t="s">
        <v>289</v>
      </c>
      <c r="K396" s="24" t="s">
        <v>289</v>
      </c>
      <c r="L396" s="56">
        <f t="shared" si="26"/>
        <v>50183.519999999997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236.02</v>
      </c>
      <c r="I399" s="18">
        <v>6016</v>
      </c>
      <c r="J399" s="24" t="s">
        <v>289</v>
      </c>
      <c r="K399" s="24" t="s">
        <v>289</v>
      </c>
      <c r="L399" s="56">
        <f t="shared" si="26"/>
        <v>6252.02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125000</v>
      </c>
      <c r="H400" s="47">
        <f>SUM(H394:H399)</f>
        <v>430.85</v>
      </c>
      <c r="I400" s="47">
        <f>SUM(I394:I399)</f>
        <v>6016</v>
      </c>
      <c r="J400" s="45" t="s">
        <v>289</v>
      </c>
      <c r="K400" s="45" t="s">
        <v>289</v>
      </c>
      <c r="L400" s="47">
        <f>SUM(L394:L399)</f>
        <v>131446.84999999998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125000</v>
      </c>
      <c r="H407" s="47">
        <f>H392+H400+H406</f>
        <v>509.98</v>
      </c>
      <c r="I407" s="47">
        <f>I392+I400+I406</f>
        <v>6016</v>
      </c>
      <c r="J407" s="24" t="s">
        <v>289</v>
      </c>
      <c r="K407" s="24" t="s">
        <v>289</v>
      </c>
      <c r="L407" s="47">
        <f>L392+L400+L406</f>
        <v>131525.97999999998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19470.87</v>
      </c>
      <c r="I425" s="18"/>
      <c r="J425" s="18"/>
      <c r="K425" s="18"/>
      <c r="L425" s="56">
        <f t="shared" si="29"/>
        <v>19470.87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19470.87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19470.87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19470.87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19470.87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98257.77+74774.1</f>
        <v>173031.87</v>
      </c>
      <c r="G439" s="18">
        <f>216940.22+434795.94+217373.08+506.46+2+60352.76+75011.31</f>
        <v>1004981.77</v>
      </c>
      <c r="H439" s="18"/>
      <c r="I439" s="56">
        <f t="shared" si="33"/>
        <v>1178013.6400000001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173031.87</v>
      </c>
      <c r="G445" s="13">
        <f>SUM(G438:G444)</f>
        <v>1004981.77</v>
      </c>
      <c r="H445" s="13">
        <f>SUM(H438:H444)</f>
        <v>0</v>
      </c>
      <c r="I445" s="13">
        <f>SUM(I438:I444)</f>
        <v>1178013.6400000001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>
        <f>6.76+0.05</f>
        <v>6.81</v>
      </c>
      <c r="H450" s="18"/>
      <c r="I450" s="56">
        <f>SUM(F450:H450)</f>
        <v>6.81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6.81</v>
      </c>
      <c r="H451" s="72">
        <f>SUM(H447:H450)</f>
        <v>0</v>
      </c>
      <c r="I451" s="72">
        <f>SUM(I447:I450)</f>
        <v>6.81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173031.87</v>
      </c>
      <c r="G455" s="18">
        <f>1004975.01-0.05</f>
        <v>1004974.96</v>
      </c>
      <c r="H455" s="18"/>
      <c r="I455" s="56">
        <f t="shared" si="34"/>
        <v>1178006.83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173031.87</v>
      </c>
      <c r="G459" s="83">
        <f>SUM(G453:G458)</f>
        <v>1004974.96</v>
      </c>
      <c r="H459" s="83">
        <f>SUM(H453:H458)</f>
        <v>0</v>
      </c>
      <c r="I459" s="83">
        <f>SUM(I453:I458)</f>
        <v>1178006.83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173031.87</v>
      </c>
      <c r="G460" s="42">
        <f>G451+G459</f>
        <v>1004981.77</v>
      </c>
      <c r="H460" s="42">
        <f>H451+H459</f>
        <v>0</v>
      </c>
      <c r="I460" s="42">
        <f>I451+I459</f>
        <v>1178013.6400000001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1857469.54</v>
      </c>
      <c r="G464" s="18">
        <v>0</v>
      </c>
      <c r="H464" s="18">
        <v>-414460.43</v>
      </c>
      <c r="I464" s="18">
        <v>0</v>
      </c>
      <c r="J464" s="18">
        <v>1065951.72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35494970.82</v>
      </c>
      <c r="G467" s="18">
        <v>644438.61</v>
      </c>
      <c r="H467" s="18">
        <v>1183411.1299999999</v>
      </c>
      <c r="I467" s="18"/>
      <c r="J467" s="18">
        <v>131525.98000000001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35494970.82</v>
      </c>
      <c r="G469" s="53">
        <f>SUM(G467:G468)</f>
        <v>644438.61</v>
      </c>
      <c r="H469" s="53">
        <f>SUM(H467:H468)</f>
        <v>1183411.1299999999</v>
      </c>
      <c r="I469" s="53">
        <f>SUM(I467:I468)</f>
        <v>0</v>
      </c>
      <c r="J469" s="53">
        <f>SUM(J467:J468)</f>
        <v>131525.98000000001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36119865.25+0.71</f>
        <v>36119865.960000001</v>
      </c>
      <c r="G471" s="18">
        <v>644438.61</v>
      </c>
      <c r="H471" s="18">
        <v>919215.94</v>
      </c>
      <c r="I471" s="18"/>
      <c r="J471" s="18">
        <v>19470.87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36119865.960000001</v>
      </c>
      <c r="G473" s="53">
        <f>SUM(G471:G472)</f>
        <v>644438.61</v>
      </c>
      <c r="H473" s="53">
        <f>SUM(H471:H472)</f>
        <v>919215.94</v>
      </c>
      <c r="I473" s="53">
        <f>SUM(I471:I472)</f>
        <v>0</v>
      </c>
      <c r="J473" s="53">
        <f>SUM(J471:J472)</f>
        <v>19470.87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1232574.3999999985</v>
      </c>
      <c r="G475" s="53">
        <f>(G464+G469)- G473</f>
        <v>0</v>
      </c>
      <c r="H475" s="53">
        <f>(H464+H469)- H473</f>
        <v>-150265.24</v>
      </c>
      <c r="I475" s="53">
        <f>(I464+I469)- I473</f>
        <v>0</v>
      </c>
      <c r="J475" s="53">
        <f>(J464+J469)- J473</f>
        <v>1178006.8299999998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>
        <v>15</v>
      </c>
      <c r="I489" s="154">
        <v>20</v>
      </c>
      <c r="J489" s="154">
        <v>20</v>
      </c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 t="s">
        <v>911</v>
      </c>
      <c r="I490" s="155" t="s">
        <v>910</v>
      </c>
      <c r="J490" s="155" t="s">
        <v>912</v>
      </c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 t="s">
        <v>909</v>
      </c>
      <c r="I491" s="155" t="s">
        <v>913</v>
      </c>
      <c r="J491" s="155" t="s">
        <v>914</v>
      </c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>
        <v>2500000</v>
      </c>
      <c r="I492" s="18">
        <v>2300000</v>
      </c>
      <c r="J492" s="18">
        <v>20406711</v>
      </c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>
        <v>5.26</v>
      </c>
      <c r="I493" s="18">
        <v>4.22</v>
      </c>
      <c r="J493" s="18">
        <v>4.09</v>
      </c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>
        <v>50000</v>
      </c>
      <c r="I494" s="18">
        <v>1265000</v>
      </c>
      <c r="J494" s="18">
        <v>12240000</v>
      </c>
      <c r="K494" s="53">
        <f>SUM(F494:J494)</f>
        <v>13555000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>
        <v>50000</v>
      </c>
      <c r="I496" s="18">
        <v>115000</v>
      </c>
      <c r="J496" s="18">
        <v>1020000</v>
      </c>
      <c r="K496" s="53">
        <f t="shared" si="35"/>
        <v>1185000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>
        <v>0</v>
      </c>
      <c r="I497" s="205">
        <f>1265000-115000</f>
        <v>1150000</v>
      </c>
      <c r="J497" s="205">
        <f>12240000-1020000</f>
        <v>11220000</v>
      </c>
      <c r="K497" s="206">
        <f t="shared" si="35"/>
        <v>12370000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>
        <v>0</v>
      </c>
      <c r="I498" s="18">
        <v>259554</v>
      </c>
      <c r="J498" s="18">
        <v>2700195</v>
      </c>
      <c r="K498" s="53">
        <f t="shared" si="35"/>
        <v>2959749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1409554</v>
      </c>
      <c r="J499" s="42">
        <f>SUM(J497:J498)</f>
        <v>13920195</v>
      </c>
      <c r="K499" s="42">
        <f t="shared" si="35"/>
        <v>15329749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>
        <v>0</v>
      </c>
      <c r="I500" s="205">
        <v>115000</v>
      </c>
      <c r="J500" s="205">
        <v>1020000</v>
      </c>
      <c r="K500" s="206">
        <f t="shared" si="35"/>
        <v>1135000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>
        <v>0</v>
      </c>
      <c r="I501" s="18">
        <v>47955</v>
      </c>
      <c r="J501" s="18">
        <v>450840</v>
      </c>
      <c r="K501" s="53">
        <f t="shared" si="35"/>
        <v>498795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162955</v>
      </c>
      <c r="J502" s="42">
        <f>SUM(J500:J501)</f>
        <v>1470840</v>
      </c>
      <c r="K502" s="42">
        <f t="shared" si="35"/>
        <v>1633795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1489048.0524925818</v>
      </c>
      <c r="G520" s="18">
        <v>535721.69062314543</v>
      </c>
      <c r="H520" s="18">
        <v>934512.25074183976</v>
      </c>
      <c r="I520" s="18">
        <v>15401.387477744807</v>
      </c>
      <c r="J520" s="18">
        <v>8100.54</v>
      </c>
      <c r="K520" s="18">
        <v>4637.37</v>
      </c>
      <c r="L520" s="88">
        <f>SUM(F520:K520)</f>
        <v>2987421.2913353122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1312982.453323442</v>
      </c>
      <c r="G521" s="18">
        <v>476305.08083086053</v>
      </c>
      <c r="H521" s="18">
        <v>186663.28765578635</v>
      </c>
      <c r="I521" s="18">
        <v>9742.77997032641</v>
      </c>
      <c r="J521" s="18">
        <v>10360</v>
      </c>
      <c r="K521" s="18">
        <v>4464.3599999999997</v>
      </c>
      <c r="L521" s="88">
        <f>SUM(F521:K521)</f>
        <v>2000517.9617804154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1191498.4241839764</v>
      </c>
      <c r="G522" s="18">
        <v>473324.11854599405</v>
      </c>
      <c r="H522" s="18">
        <v>383980.39160237391</v>
      </c>
      <c r="I522" s="18">
        <v>6014.9325519287831</v>
      </c>
      <c r="J522" s="18">
        <v>4403.8599999999997</v>
      </c>
      <c r="K522" s="18">
        <v>4644.37</v>
      </c>
      <c r="L522" s="88">
        <f>SUM(F522:K522)</f>
        <v>2063866.0968842735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3993528.93</v>
      </c>
      <c r="G523" s="108">
        <f t="shared" ref="G523:L523" si="36">SUM(G520:G522)</f>
        <v>1485350.8900000001</v>
      </c>
      <c r="H523" s="108">
        <f t="shared" si="36"/>
        <v>1505155.93</v>
      </c>
      <c r="I523" s="108">
        <f t="shared" si="36"/>
        <v>31159.1</v>
      </c>
      <c r="J523" s="108">
        <f t="shared" si="36"/>
        <v>22864.400000000001</v>
      </c>
      <c r="K523" s="108">
        <f t="shared" si="36"/>
        <v>13746.099999999999</v>
      </c>
      <c r="L523" s="89">
        <f t="shared" si="36"/>
        <v>7051805.3500000015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349083.96</v>
      </c>
      <c r="G525" s="18">
        <v>155719.65</v>
      </c>
      <c r="H525" s="18">
        <v>6429.1850445103855</v>
      </c>
      <c r="I525" s="18">
        <v>6465.33</v>
      </c>
      <c r="J525" s="18">
        <v>933.75</v>
      </c>
      <c r="K525" s="18"/>
      <c r="L525" s="88">
        <f>SUM(F525:K525)</f>
        <v>518631.87504451041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183884.43</v>
      </c>
      <c r="G526" s="18">
        <v>59613.03</v>
      </c>
      <c r="H526" s="18">
        <v>11740.240059347181</v>
      </c>
      <c r="I526" s="18">
        <v>2020.26</v>
      </c>
      <c r="J526" s="18">
        <v>0</v>
      </c>
      <c r="K526" s="18"/>
      <c r="L526" s="88">
        <f>SUM(F526:K526)</f>
        <v>257257.96005934718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134527.1</v>
      </c>
      <c r="G527" s="18">
        <v>73032.81</v>
      </c>
      <c r="H527" s="18">
        <v>7246.5548961424338</v>
      </c>
      <c r="I527" s="18">
        <v>2137.63</v>
      </c>
      <c r="J527" s="18">
        <v>0</v>
      </c>
      <c r="K527" s="18"/>
      <c r="L527" s="88">
        <f>SUM(F527:K527)</f>
        <v>216944.09489614243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667495.49</v>
      </c>
      <c r="G528" s="89">
        <f t="shared" ref="G528:L528" si="37">SUM(G525:G527)</f>
        <v>288365.49</v>
      </c>
      <c r="H528" s="89">
        <f t="shared" si="37"/>
        <v>25415.980000000003</v>
      </c>
      <c r="I528" s="89">
        <f t="shared" si="37"/>
        <v>10623.220000000001</v>
      </c>
      <c r="J528" s="89">
        <f t="shared" si="37"/>
        <v>933.75</v>
      </c>
      <c r="K528" s="89">
        <f t="shared" si="37"/>
        <v>0</v>
      </c>
      <c r="L528" s="89">
        <f t="shared" si="37"/>
        <v>992833.92999999993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95223.471127596436</v>
      </c>
      <c r="G530" s="18">
        <v>41943.599347181007</v>
      </c>
      <c r="H530" s="18">
        <v>3489.0400296735897</v>
      </c>
      <c r="I530" s="18">
        <v>358.08863501483677</v>
      </c>
      <c r="J530" s="18">
        <v>0</v>
      </c>
      <c r="K530" s="18">
        <v>547.78931750741833</v>
      </c>
      <c r="L530" s="88">
        <f>SUM(F530:K530)</f>
        <v>141561.98845697328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112243.97483679524</v>
      </c>
      <c r="G531" s="18">
        <v>40519.262462908009</v>
      </c>
      <c r="H531" s="18">
        <v>5959.2167062314538</v>
      </c>
      <c r="I531" s="18">
        <v>477.45151335311567</v>
      </c>
      <c r="J531" s="18">
        <v>0</v>
      </c>
      <c r="K531" s="18">
        <v>730.38575667655789</v>
      </c>
      <c r="L531" s="88">
        <f>SUM(F531:K531)</f>
        <v>159930.29127596435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27463.524035608309</v>
      </c>
      <c r="G532" s="18">
        <v>6772.9281899109792</v>
      </c>
      <c r="H532" s="18">
        <v>4371.4232640949558</v>
      </c>
      <c r="I532" s="18">
        <v>462.04985163204748</v>
      </c>
      <c r="J532" s="18">
        <v>0</v>
      </c>
      <c r="K532" s="18">
        <v>706.82492581602378</v>
      </c>
      <c r="L532" s="88">
        <f>SUM(F532:K532)</f>
        <v>39776.750267062307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234930.97</v>
      </c>
      <c r="G533" s="89">
        <f t="shared" ref="G533:L533" si="38">SUM(G530:G532)</f>
        <v>89235.79</v>
      </c>
      <c r="H533" s="89">
        <f t="shared" si="38"/>
        <v>13819.68</v>
      </c>
      <c r="I533" s="89">
        <f t="shared" si="38"/>
        <v>1297.5899999999999</v>
      </c>
      <c r="J533" s="89">
        <f t="shared" si="38"/>
        <v>0</v>
      </c>
      <c r="K533" s="89">
        <f t="shared" si="38"/>
        <v>1985</v>
      </c>
      <c r="L533" s="89">
        <f t="shared" si="38"/>
        <v>341269.02999999991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64458.89</v>
      </c>
      <c r="G540" s="18">
        <v>30396.12</v>
      </c>
      <c r="H540" s="18">
        <v>14280.785</v>
      </c>
      <c r="I540" s="18">
        <v>13575.635</v>
      </c>
      <c r="J540" s="18"/>
      <c r="K540" s="18"/>
      <c r="L540" s="88">
        <f>SUM(F540:K540)</f>
        <v>122711.43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24932.06</v>
      </c>
      <c r="G541" s="18">
        <v>13648.76</v>
      </c>
      <c r="H541" s="18">
        <v>7130.4925000000003</v>
      </c>
      <c r="I541" s="18">
        <v>6787.8175000000001</v>
      </c>
      <c r="J541" s="18"/>
      <c r="K541" s="18"/>
      <c r="L541" s="88">
        <f>SUM(F541:K541)</f>
        <v>52499.13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49339.42</v>
      </c>
      <c r="G542" s="18">
        <v>22600.86</v>
      </c>
      <c r="H542" s="18">
        <v>18220.4925</v>
      </c>
      <c r="I542" s="18">
        <v>6787.8175000000001</v>
      </c>
      <c r="J542" s="18"/>
      <c r="K542" s="18"/>
      <c r="L542" s="88">
        <f>SUM(F542:K542)</f>
        <v>96948.59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138730.37</v>
      </c>
      <c r="G543" s="194">
        <f t="shared" ref="G543:L543" si="40">SUM(G540:G542)</f>
        <v>66645.739999999991</v>
      </c>
      <c r="H543" s="194">
        <f t="shared" si="40"/>
        <v>39631.770000000004</v>
      </c>
      <c r="I543" s="194">
        <f t="shared" si="40"/>
        <v>27151.27</v>
      </c>
      <c r="J543" s="194">
        <f t="shared" si="40"/>
        <v>0</v>
      </c>
      <c r="K543" s="194">
        <f t="shared" si="40"/>
        <v>0</v>
      </c>
      <c r="L543" s="194">
        <f t="shared" si="40"/>
        <v>272159.15000000002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5034685.76</v>
      </c>
      <c r="G544" s="89">
        <f t="shared" ref="G544:L544" si="41">G523+G528+G533+G538+G543</f>
        <v>1929597.9100000001</v>
      </c>
      <c r="H544" s="89">
        <f t="shared" si="41"/>
        <v>1584023.3599999999</v>
      </c>
      <c r="I544" s="89">
        <f t="shared" si="41"/>
        <v>70231.179999999993</v>
      </c>
      <c r="J544" s="89">
        <f t="shared" si="41"/>
        <v>23798.15</v>
      </c>
      <c r="K544" s="89">
        <f t="shared" si="41"/>
        <v>15731.099999999999</v>
      </c>
      <c r="L544" s="89">
        <f t="shared" si="41"/>
        <v>8658067.4600000009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2987421.2913353122</v>
      </c>
      <c r="G548" s="87">
        <f>L525</f>
        <v>518631.87504451041</v>
      </c>
      <c r="H548" s="87">
        <f>L530</f>
        <v>141561.98845697328</v>
      </c>
      <c r="I548" s="87">
        <f>L535</f>
        <v>0</v>
      </c>
      <c r="J548" s="87">
        <f>L540</f>
        <v>122711.43</v>
      </c>
      <c r="K548" s="87">
        <f>SUM(F548:J548)</f>
        <v>3770326.5848367959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2000517.9617804154</v>
      </c>
      <c r="G549" s="87">
        <f>L526</f>
        <v>257257.96005934718</v>
      </c>
      <c r="H549" s="87">
        <f>L531</f>
        <v>159930.29127596435</v>
      </c>
      <c r="I549" s="87">
        <f>L536</f>
        <v>0</v>
      </c>
      <c r="J549" s="87">
        <f>L541</f>
        <v>52499.13</v>
      </c>
      <c r="K549" s="87">
        <f>SUM(F549:J549)</f>
        <v>2470205.3431157265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2063866.0968842735</v>
      </c>
      <c r="G550" s="87">
        <f>L527</f>
        <v>216944.09489614243</v>
      </c>
      <c r="H550" s="87">
        <f>L532</f>
        <v>39776.750267062307</v>
      </c>
      <c r="I550" s="87">
        <f>L537</f>
        <v>0</v>
      </c>
      <c r="J550" s="87">
        <f>L542</f>
        <v>96948.59</v>
      </c>
      <c r="K550" s="87">
        <f>SUM(F550:J550)</f>
        <v>2417535.532047478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7051805.3500000015</v>
      </c>
      <c r="G551" s="89">
        <f t="shared" si="42"/>
        <v>992833.92999999993</v>
      </c>
      <c r="H551" s="89">
        <f t="shared" si="42"/>
        <v>341269.02999999991</v>
      </c>
      <c r="I551" s="89">
        <f t="shared" si="42"/>
        <v>0</v>
      </c>
      <c r="J551" s="89">
        <f t="shared" si="42"/>
        <v>272159.15000000002</v>
      </c>
      <c r="K551" s="89">
        <f t="shared" si="42"/>
        <v>8658067.4600000009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77143.39</v>
      </c>
      <c r="G561" s="18">
        <v>16808.95</v>
      </c>
      <c r="H561" s="18">
        <v>179</v>
      </c>
      <c r="I561" s="18">
        <v>594.72</v>
      </c>
      <c r="J561" s="18"/>
      <c r="K561" s="18"/>
      <c r="L561" s="88">
        <f>SUM(F561:K561)</f>
        <v>94726.06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6152.5</v>
      </c>
      <c r="G562" s="18"/>
      <c r="H562" s="18">
        <v>29785</v>
      </c>
      <c r="I562" s="18">
        <v>454.5</v>
      </c>
      <c r="J562" s="18"/>
      <c r="K562" s="18"/>
      <c r="L562" s="88">
        <f>SUM(F562:K562)</f>
        <v>36392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83295.89</v>
      </c>
      <c r="G564" s="89">
        <f t="shared" si="44"/>
        <v>16808.95</v>
      </c>
      <c r="H564" s="89">
        <f t="shared" si="44"/>
        <v>29964</v>
      </c>
      <c r="I564" s="89">
        <f t="shared" si="44"/>
        <v>1049.22</v>
      </c>
      <c r="J564" s="89">
        <f t="shared" si="44"/>
        <v>0</v>
      </c>
      <c r="K564" s="89">
        <f t="shared" si="44"/>
        <v>0</v>
      </c>
      <c r="L564" s="89">
        <f t="shared" si="44"/>
        <v>131118.06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83295.89</v>
      </c>
      <c r="G570" s="89">
        <f t="shared" ref="G570:L570" si="46">G559+G564+G569</f>
        <v>16808.95</v>
      </c>
      <c r="H570" s="89">
        <f t="shared" si="46"/>
        <v>29964</v>
      </c>
      <c r="I570" s="89">
        <f t="shared" si="46"/>
        <v>1049.22</v>
      </c>
      <c r="J570" s="89">
        <f t="shared" si="46"/>
        <v>0</v>
      </c>
      <c r="K570" s="89">
        <f t="shared" si="46"/>
        <v>0</v>
      </c>
      <c r="L570" s="89">
        <f t="shared" si="46"/>
        <v>131118.06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100628.11</v>
      </c>
      <c r="I578" s="87">
        <f t="shared" si="47"/>
        <v>100628.11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423284.31</v>
      </c>
      <c r="G581" s="18">
        <v>44520.84</v>
      </c>
      <c r="H581" s="18">
        <v>143398.20000000001</v>
      </c>
      <c r="I581" s="87">
        <f t="shared" si="47"/>
        <v>611203.35000000009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18832.64</v>
      </c>
      <c r="I583" s="87">
        <f t="shared" si="47"/>
        <v>18832.64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745156.05</v>
      </c>
      <c r="I590" s="18">
        <v>382907.89499999996</v>
      </c>
      <c r="J590" s="18">
        <v>383637.14500000002</v>
      </c>
      <c r="K590" s="104">
        <f t="shared" ref="K590:K596" si="48">SUM(H590:J590)</f>
        <v>1511701.09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122711.43</v>
      </c>
      <c r="I591" s="18">
        <v>52499.13</v>
      </c>
      <c r="J591" s="18">
        <v>96948.59</v>
      </c>
      <c r="K591" s="104">
        <f t="shared" si="48"/>
        <v>272159.15000000002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9315.66</v>
      </c>
      <c r="K592" s="104">
        <f t="shared" si="48"/>
        <v>9315.66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8165.38</v>
      </c>
      <c r="J593" s="18">
        <v>56988.84</v>
      </c>
      <c r="K593" s="104">
        <f t="shared" si="48"/>
        <v>65154.219999999994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6755.16</v>
      </c>
      <c r="I594" s="18">
        <v>8777.9</v>
      </c>
      <c r="J594" s="18">
        <v>4598.3500000000004</v>
      </c>
      <c r="K594" s="104">
        <f t="shared" si="48"/>
        <v>20131.41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24644.035</v>
      </c>
      <c r="I596" s="18">
        <v>12322.0175</v>
      </c>
      <c r="J596" s="18">
        <v>12322.0175</v>
      </c>
      <c r="K596" s="104">
        <f t="shared" si="48"/>
        <v>49288.07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899266.67500000005</v>
      </c>
      <c r="I597" s="108">
        <f>SUM(I590:I596)</f>
        <v>464672.32250000001</v>
      </c>
      <c r="J597" s="108">
        <f>SUM(J590:J596)</f>
        <v>563810.60249999992</v>
      </c>
      <c r="K597" s="108">
        <f>SUM(K590:K596)</f>
        <v>1927749.6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82825.400912797195</v>
      </c>
      <c r="I603" s="18">
        <v>132851.97622036218</v>
      </c>
      <c r="J603" s="18">
        <v>94469.792866840638</v>
      </c>
      <c r="K603" s="104">
        <f>SUM(H603:J603)</f>
        <v>310147.17000000004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82825.400912797195</v>
      </c>
      <c r="I604" s="108">
        <f>SUM(I601:I603)</f>
        <v>132851.97622036218</v>
      </c>
      <c r="J604" s="108">
        <f>SUM(J601:J603)</f>
        <v>94469.792866840638</v>
      </c>
      <c r="K604" s="108">
        <f>SUM(K601:K603)</f>
        <v>310147.17000000004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48717.02</v>
      </c>
      <c r="G610" s="18">
        <v>6350.18</v>
      </c>
      <c r="H610" s="18">
        <v>47122.46</v>
      </c>
      <c r="I610" s="18">
        <v>272.92</v>
      </c>
      <c r="J610" s="18"/>
      <c r="K610" s="18"/>
      <c r="L610" s="88">
        <f>SUM(F610:K610)</f>
        <v>102462.58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31579.84</v>
      </c>
      <c r="G611" s="18">
        <v>4889.8900000000003</v>
      </c>
      <c r="H611" s="18">
        <v>5709.99</v>
      </c>
      <c r="I611" s="18">
        <v>614.66999999999996</v>
      </c>
      <c r="J611" s="18"/>
      <c r="K611" s="18"/>
      <c r="L611" s="88">
        <f>SUM(F611:K611)</f>
        <v>42794.39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22034.53</v>
      </c>
      <c r="G612" s="18">
        <v>3167.83</v>
      </c>
      <c r="H612" s="18">
        <v>7135</v>
      </c>
      <c r="I612" s="18"/>
      <c r="J612" s="18"/>
      <c r="K612" s="18"/>
      <c r="L612" s="88">
        <f>SUM(F612:K612)</f>
        <v>32337.360000000001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102331.39</v>
      </c>
      <c r="G613" s="108">
        <f t="shared" si="49"/>
        <v>14407.9</v>
      </c>
      <c r="H613" s="108">
        <f t="shared" si="49"/>
        <v>59967.45</v>
      </c>
      <c r="I613" s="108">
        <f t="shared" si="49"/>
        <v>887.58999999999992</v>
      </c>
      <c r="J613" s="108">
        <f t="shared" si="49"/>
        <v>0</v>
      </c>
      <c r="K613" s="108">
        <f t="shared" si="49"/>
        <v>0</v>
      </c>
      <c r="L613" s="89">
        <f t="shared" si="49"/>
        <v>177594.33000000002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2095420.83</v>
      </c>
      <c r="H616" s="109">
        <f>SUM(F51)</f>
        <v>2095420.8299999998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26416.68</v>
      </c>
      <c r="H617" s="109">
        <f>SUM(G51)</f>
        <v>26416.68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-148928.32000000001</v>
      </c>
      <c r="H618" s="109">
        <f>SUM(H51)</f>
        <v>-148928.31999999998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1178013.6400000001</v>
      </c>
      <c r="H620" s="109">
        <f>SUM(J51)</f>
        <v>1178013.6400000001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1232574.3999999999</v>
      </c>
      <c r="H621" s="109">
        <f>F475</f>
        <v>1232574.3999999985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-150265.24</v>
      </c>
      <c r="H623" s="109">
        <f>H475</f>
        <v>-150265.24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1178006.83</v>
      </c>
      <c r="H625" s="109">
        <f>J475</f>
        <v>1178006.8299999998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35494970.82</v>
      </c>
      <c r="H626" s="104">
        <f>SUM(F467)</f>
        <v>35494970.82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644438.61</v>
      </c>
      <c r="H627" s="104">
        <f>SUM(G467)</f>
        <v>644438.61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1183411.1300000001</v>
      </c>
      <c r="H628" s="104">
        <f>SUM(H467)</f>
        <v>1183411.1299999999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131525.98000000001</v>
      </c>
      <c r="H630" s="104">
        <f>SUM(J467)</f>
        <v>131525.98000000001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36119865.960000001</v>
      </c>
      <c r="H631" s="104">
        <f>SUM(F471)</f>
        <v>36119865.960000001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919215.94</v>
      </c>
      <c r="H632" s="104">
        <f>SUM(H471)</f>
        <v>919215.94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241092.72</v>
      </c>
      <c r="H633" s="104">
        <f>I368</f>
        <v>241092.72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644438.61</v>
      </c>
      <c r="H634" s="104">
        <f>SUM(G471)</f>
        <v>644438.61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131525.97999999998</v>
      </c>
      <c r="H636" s="164">
        <f>SUM(J467)</f>
        <v>131525.98000000001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19470.87</v>
      </c>
      <c r="H637" s="164">
        <f>SUM(J471)</f>
        <v>19470.87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173031.87</v>
      </c>
      <c r="H638" s="104">
        <f>SUM(F460)</f>
        <v>173031.87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1004981.77</v>
      </c>
      <c r="H639" s="104">
        <f>SUM(G460)</f>
        <v>1004981.77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1178013.6400000001</v>
      </c>
      <c r="H641" s="104">
        <f>SUM(I460)</f>
        <v>1178013.6400000001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509.98</v>
      </c>
      <c r="H643" s="104">
        <f>H407</f>
        <v>509.98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125000</v>
      </c>
      <c r="H644" s="104">
        <f>G407</f>
        <v>125000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131525.98000000001</v>
      </c>
      <c r="H645" s="104">
        <f>L407</f>
        <v>131525.97999999998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1927749.6</v>
      </c>
      <c r="H646" s="104">
        <f>L207+L225+L243</f>
        <v>1927749.6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310147.17000000004</v>
      </c>
      <c r="H647" s="104">
        <f>(J256+J337)-(J254+J335)</f>
        <v>310147.16999999993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899266.67500000005</v>
      </c>
      <c r="H648" s="104">
        <f>H597</f>
        <v>899266.67500000005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464672.32249999995</v>
      </c>
      <c r="H649" s="104">
        <f>I597</f>
        <v>464672.32250000001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563810.60249999992</v>
      </c>
      <c r="H650" s="104">
        <f>J597</f>
        <v>563810.60249999992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98080.14</v>
      </c>
      <c r="H651" s="104">
        <f>K262+K344</f>
        <v>98080.14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125000</v>
      </c>
      <c r="H654" s="104">
        <f>K265+K346</f>
        <v>125000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12615136.229616182</v>
      </c>
      <c r="G659" s="19">
        <f>(L228+L308+L358)</f>
        <v>10837811.673471004</v>
      </c>
      <c r="H659" s="19">
        <f>(L246+L327+L359)</f>
        <v>11998041.566912817</v>
      </c>
      <c r="I659" s="19">
        <f>SUM(F659:H659)</f>
        <v>35450989.469999999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153540.88111845346</v>
      </c>
      <c r="G660" s="19">
        <f>(L358/IF(SUM(L357:L359)=0,1,SUM(L357:L359))*(SUM(G96:G109)))</f>
        <v>144095.18642948565</v>
      </c>
      <c r="H660" s="19">
        <f>(L359/IF(SUM(L357:L359)=0,1,SUM(L357:L359))*(SUM(G96:G109)))</f>
        <v>176083.57245206085</v>
      </c>
      <c r="I660" s="19">
        <f>SUM(F660:H660)</f>
        <v>473719.64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885628.39500000002</v>
      </c>
      <c r="G661" s="19">
        <f>(L225+L305)-(J225+J305)</f>
        <v>458001.25749999995</v>
      </c>
      <c r="H661" s="19">
        <f>(L243+L324)-(J243+J324)</f>
        <v>557131.89749999996</v>
      </c>
      <c r="I661" s="19">
        <f>SUM(F661:H661)</f>
        <v>1900761.5499999998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608572.29091279721</v>
      </c>
      <c r="G662" s="200">
        <f>SUM(G574:G586)+SUM(I601:I603)+L611</f>
        <v>220167.20622036216</v>
      </c>
      <c r="H662" s="200">
        <f>SUM(H574:H586)+SUM(J601:J603)+L612</f>
        <v>389666.10286684067</v>
      </c>
      <c r="I662" s="19">
        <f>SUM(F662:H662)</f>
        <v>1218405.6000000001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10967394.662584931</v>
      </c>
      <c r="G663" s="19">
        <f>G659-SUM(G660:G662)</f>
        <v>10015548.023321155</v>
      </c>
      <c r="H663" s="19">
        <f>H659-SUM(H660:H662)</f>
        <v>10875159.994093915</v>
      </c>
      <c r="I663" s="19">
        <f>I659-SUM(I660:I662)</f>
        <v>31858102.68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656.62</v>
      </c>
      <c r="G664" s="249">
        <v>606.95000000000005</v>
      </c>
      <c r="H664" s="249">
        <v>673.84</v>
      </c>
      <c r="I664" s="19">
        <f>SUM(F664:H664)</f>
        <v>1937.4100000000003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16702.8</v>
      </c>
      <c r="G666" s="19">
        <f>ROUND(G663/G664,2)</f>
        <v>16501.439999999999</v>
      </c>
      <c r="H666" s="19">
        <f>ROUND(H663/H664,2)</f>
        <v>16139.08</v>
      </c>
      <c r="I666" s="19">
        <f>ROUND(I663/I664,2)</f>
        <v>16443.66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-6.8</v>
      </c>
      <c r="I669" s="19">
        <f>SUM(F669:H669)</f>
        <v>-6.8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16702.8</v>
      </c>
      <c r="G671" s="19">
        <f>ROUND((G663+G668)/(G664+G669),2)</f>
        <v>16501.439999999999</v>
      </c>
      <c r="H671" s="19">
        <f>ROUND((H663+H668)/(H664+H669),2)</f>
        <v>16303.61</v>
      </c>
      <c r="I671" s="19">
        <f>ROUND((I663+I668)/(I664+I669),2)</f>
        <v>16501.57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B21" sqref="B2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Oyster River Coop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10122243.6</v>
      </c>
      <c r="C9" s="230">
        <f>'DOE25'!G196+'DOE25'!G214+'DOE25'!G232+'DOE25'!G275+'DOE25'!G294+'DOE25'!G313</f>
        <v>3957838.6300000004</v>
      </c>
    </row>
    <row r="10" spans="1:3">
      <c r="A10" t="s">
        <v>779</v>
      </c>
      <c r="B10" s="241">
        <v>9591810.5742101297</v>
      </c>
      <c r="C10" s="241">
        <v>3679109.6383532309</v>
      </c>
    </row>
    <row r="11" spans="1:3">
      <c r="A11" t="s">
        <v>780</v>
      </c>
      <c r="B11" s="241">
        <v>287160.99755348056</v>
      </c>
      <c r="C11" s="241">
        <v>108120.77868889931</v>
      </c>
    </row>
    <row r="12" spans="1:3">
      <c r="A12" t="s">
        <v>781</v>
      </c>
      <c r="B12" s="241">
        <v>243272.02823639088</v>
      </c>
      <c r="C12" s="241">
        <v>170608.2129578685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10122243.600000001</v>
      </c>
      <c r="C13" s="232">
        <f>SUM(C10:C12)</f>
        <v>3957838.6299999985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3864519.93</v>
      </c>
      <c r="C18" s="230">
        <f>'DOE25'!G197+'DOE25'!G215+'DOE25'!G233+'DOE25'!G276+'DOE25'!G295+'DOE25'!G314</f>
        <v>1439323.9200000002</v>
      </c>
    </row>
    <row r="19" spans="1:3">
      <c r="A19" t="s">
        <v>779</v>
      </c>
      <c r="B19" s="241">
        <v>2214531.9900000002</v>
      </c>
      <c r="C19" s="241">
        <v>824792.97</v>
      </c>
    </row>
    <row r="20" spans="1:3">
      <c r="A20" t="s">
        <v>780</v>
      </c>
      <c r="B20" s="241">
        <v>1564496.81</v>
      </c>
      <c r="C20" s="241">
        <v>582690.15</v>
      </c>
    </row>
    <row r="21" spans="1:3">
      <c r="A21" t="s">
        <v>781</v>
      </c>
      <c r="B21" s="241">
        <v>85491.13</v>
      </c>
      <c r="C21" s="241">
        <v>31840.799999999999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3864519.93</v>
      </c>
      <c r="C22" s="232">
        <f>SUM(C19:C21)</f>
        <v>1439323.9200000002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418533.53999999992</v>
      </c>
      <c r="C36" s="236">
        <f>'DOE25'!G199+'DOE25'!G217+'DOE25'!G235+'DOE25'!G278+'DOE25'!G297+'DOE25'!G316</f>
        <v>74079.090000000011</v>
      </c>
    </row>
    <row r="37" spans="1:3">
      <c r="A37" t="s">
        <v>779</v>
      </c>
      <c r="B37" s="241">
        <v>113256</v>
      </c>
      <c r="C37" s="241">
        <v>20045.947612800639</v>
      </c>
    </row>
    <row r="38" spans="1:3">
      <c r="A38" t="s">
        <v>780</v>
      </c>
      <c r="B38" s="241">
        <v>43580.89</v>
      </c>
      <c r="C38" s="241">
        <v>7713.6773138661729</v>
      </c>
    </row>
    <row r="39" spans="1:3">
      <c r="A39" t="s">
        <v>781</v>
      </c>
      <c r="B39" s="241">
        <v>261696.65</v>
      </c>
      <c r="C39" s="241">
        <v>46319.465073333195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418533.54000000004</v>
      </c>
      <c r="C40" s="232">
        <f>SUM(C37:C39)</f>
        <v>74079.090000000011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38" sqref="F38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Oyster River Coop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21277075.77</v>
      </c>
      <c r="D5" s="20">
        <f>SUM('DOE25'!L196:L199)+SUM('DOE25'!L214:L217)+SUM('DOE25'!L232:L235)-F5-G5</f>
        <v>21057375.419999998</v>
      </c>
      <c r="E5" s="244"/>
      <c r="F5" s="256">
        <f>SUM('DOE25'!J196:J199)+SUM('DOE25'!J214:J217)+SUM('DOE25'!J232:J235)</f>
        <v>171603</v>
      </c>
      <c r="G5" s="53">
        <f>SUM('DOE25'!K196:K199)+SUM('DOE25'!K214:K217)+SUM('DOE25'!K232:K235)</f>
        <v>48097.350000000006</v>
      </c>
      <c r="H5" s="260"/>
    </row>
    <row r="6" spans="1:9">
      <c r="A6" s="32">
        <v>2100</v>
      </c>
      <c r="B6" t="s">
        <v>801</v>
      </c>
      <c r="C6" s="246">
        <f t="shared" si="0"/>
        <v>3214596.25</v>
      </c>
      <c r="D6" s="20">
        <f>'DOE25'!L201+'DOE25'!L219+'DOE25'!L237-F6-G6</f>
        <v>3198527.41</v>
      </c>
      <c r="E6" s="244"/>
      <c r="F6" s="256">
        <f>'DOE25'!J201+'DOE25'!J219+'DOE25'!J237</f>
        <v>16043.84</v>
      </c>
      <c r="G6" s="53">
        <f>'DOE25'!K201+'DOE25'!K219+'DOE25'!K237</f>
        <v>25</v>
      </c>
      <c r="H6" s="260"/>
    </row>
    <row r="7" spans="1:9">
      <c r="A7" s="32">
        <v>2200</v>
      </c>
      <c r="B7" t="s">
        <v>834</v>
      </c>
      <c r="C7" s="246">
        <f t="shared" si="0"/>
        <v>942801.12</v>
      </c>
      <c r="D7" s="20">
        <f>'DOE25'!L202+'DOE25'!L220+'DOE25'!L238-F7-G7</f>
        <v>923202.45</v>
      </c>
      <c r="E7" s="244"/>
      <c r="F7" s="256">
        <f>'DOE25'!J202+'DOE25'!J220+'DOE25'!J238</f>
        <v>19598.669999999998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348459.6100000001</v>
      </c>
      <c r="D8" s="244"/>
      <c r="E8" s="20">
        <f>'DOE25'!L203+'DOE25'!L221+'DOE25'!L239-F8-G8-D9-D11</f>
        <v>330692.24000000011</v>
      </c>
      <c r="F8" s="256">
        <f>'DOE25'!J203+'DOE25'!J221+'DOE25'!J239</f>
        <v>4383.1399999999994</v>
      </c>
      <c r="G8" s="53">
        <f>'DOE25'!K203+'DOE25'!K221+'DOE25'!K239</f>
        <v>13384.23</v>
      </c>
      <c r="H8" s="260"/>
    </row>
    <row r="9" spans="1:9">
      <c r="A9" s="32">
        <v>2310</v>
      </c>
      <c r="B9" t="s">
        <v>818</v>
      </c>
      <c r="C9" s="246">
        <f t="shared" si="0"/>
        <v>230613.24</v>
      </c>
      <c r="D9" s="245">
        <v>230613.24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24000</v>
      </c>
      <c r="D10" s="244"/>
      <c r="E10" s="245">
        <v>24000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584328.4</v>
      </c>
      <c r="D11" s="245">
        <v>584328.4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1544742.04</v>
      </c>
      <c r="D12" s="20">
        <f>'DOE25'!L204+'DOE25'!L222+'DOE25'!L240-F12-G12</f>
        <v>1535450.09</v>
      </c>
      <c r="E12" s="244"/>
      <c r="F12" s="256">
        <f>'DOE25'!J204+'DOE25'!J222+'DOE25'!J240</f>
        <v>1018</v>
      </c>
      <c r="G12" s="53">
        <f>'DOE25'!K204+'DOE25'!K222+'DOE25'!K240</f>
        <v>8273.9500000000007</v>
      </c>
      <c r="H12" s="260"/>
    </row>
    <row r="13" spans="1:9">
      <c r="A13" s="32">
        <v>2500</v>
      </c>
      <c r="B13" t="s">
        <v>803</v>
      </c>
      <c r="C13" s="246">
        <f t="shared" si="0"/>
        <v>516674.96</v>
      </c>
      <c r="D13" s="244"/>
      <c r="E13" s="20">
        <f>'DOE25'!L205+'DOE25'!L223+'DOE25'!L241-F13-G13</f>
        <v>514235.65</v>
      </c>
      <c r="F13" s="256">
        <f>'DOE25'!J205+'DOE25'!J223+'DOE25'!J241</f>
        <v>481.30999999999995</v>
      </c>
      <c r="G13" s="53">
        <f>'DOE25'!K205+'DOE25'!K223+'DOE25'!K241</f>
        <v>1958</v>
      </c>
      <c r="H13" s="260"/>
    </row>
    <row r="14" spans="1:9">
      <c r="A14" s="32">
        <v>2600</v>
      </c>
      <c r="B14" t="s">
        <v>832</v>
      </c>
      <c r="C14" s="246">
        <f t="shared" si="0"/>
        <v>3291926.18</v>
      </c>
      <c r="D14" s="20">
        <f>'DOE25'!L206+'DOE25'!L224+'DOE25'!L242-F14-G14</f>
        <v>3225125.75</v>
      </c>
      <c r="E14" s="244"/>
      <c r="F14" s="256">
        <f>'DOE25'!J206+'DOE25'!J224+'DOE25'!J242</f>
        <v>66800.430000000022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1927749.6</v>
      </c>
      <c r="D15" s="20">
        <f>'DOE25'!L207+'DOE25'!L225+'DOE25'!L243-F15-G15</f>
        <v>1898765.1600000001</v>
      </c>
      <c r="E15" s="244"/>
      <c r="F15" s="256">
        <f>'DOE25'!J207+'DOE25'!J225+'DOE25'!J243</f>
        <v>27631.94</v>
      </c>
      <c r="G15" s="53">
        <f>'DOE25'!K207+'DOE25'!K225+'DOE25'!K243</f>
        <v>1352.5</v>
      </c>
      <c r="H15" s="260"/>
    </row>
    <row r="16" spans="1:9">
      <c r="A16" s="32">
        <v>2800</v>
      </c>
      <c r="B16" t="s">
        <v>805</v>
      </c>
      <c r="C16" s="246">
        <f t="shared" si="0"/>
        <v>8367.75</v>
      </c>
      <c r="D16" s="244"/>
      <c r="E16" s="20">
        <f>'DOE25'!L208+'DOE25'!L226+'DOE25'!L244-F16-G16</f>
        <v>1666</v>
      </c>
      <c r="F16" s="256">
        <f>'DOE25'!J208+'DOE25'!J226+'DOE25'!J244</f>
        <v>0</v>
      </c>
      <c r="G16" s="53">
        <f>'DOE25'!K208+'DOE25'!K226+'DOE25'!K244</f>
        <v>6701.75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283955.89999999997</v>
      </c>
      <c r="D22" s="244"/>
      <c r="E22" s="244"/>
      <c r="F22" s="256">
        <f>'DOE25'!L254+'DOE25'!L335</f>
        <v>283955.89999999997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1725495</v>
      </c>
      <c r="D25" s="244"/>
      <c r="E25" s="244"/>
      <c r="F25" s="259"/>
      <c r="G25" s="257"/>
      <c r="H25" s="258">
        <f>'DOE25'!L259+'DOE25'!L260+'DOE25'!L340+'DOE25'!L341</f>
        <v>1725495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429333.33999999997</v>
      </c>
      <c r="D29" s="20">
        <f>'DOE25'!L357+'DOE25'!L358+'DOE25'!L359-'DOE25'!I366-F29-G29</f>
        <v>422289.27999999997</v>
      </c>
      <c r="E29" s="244"/>
      <c r="F29" s="256">
        <f>'DOE25'!J357+'DOE25'!J358+'DOE25'!J359</f>
        <v>5186.5600000000004</v>
      </c>
      <c r="G29" s="53">
        <f>'DOE25'!K357+'DOE25'!K358+'DOE25'!K359</f>
        <v>1857.5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919215.94</v>
      </c>
      <c r="D31" s="20">
        <f>'DOE25'!L289+'DOE25'!L308+'DOE25'!L327+'DOE25'!L332+'DOE25'!L333+'DOE25'!L334-F31-G31</f>
        <v>915079.1</v>
      </c>
      <c r="E31" s="244"/>
      <c r="F31" s="256">
        <f>'DOE25'!J289+'DOE25'!J308+'DOE25'!J327+'DOE25'!J332+'DOE25'!J333+'DOE25'!J334</f>
        <v>2586.84</v>
      </c>
      <c r="G31" s="53">
        <f>'DOE25'!K289+'DOE25'!K308+'DOE25'!K327+'DOE25'!K332+'DOE25'!K333+'DOE25'!K334</f>
        <v>1550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33990756.299999997</v>
      </c>
      <c r="E33" s="247">
        <f>SUM(E5:E31)</f>
        <v>870593.89000000013</v>
      </c>
      <c r="F33" s="247">
        <f>SUM(F5:F31)</f>
        <v>599289.63</v>
      </c>
      <c r="G33" s="247">
        <f>SUM(G5:G31)</f>
        <v>83200.28</v>
      </c>
      <c r="H33" s="247">
        <f>SUM(H5:H31)</f>
        <v>1725495</v>
      </c>
    </row>
    <row r="35" spans="2:8" ht="12" thickBot="1">
      <c r="B35" s="254" t="s">
        <v>847</v>
      </c>
      <c r="D35" s="255">
        <f>E33</f>
        <v>870593.89000000013</v>
      </c>
      <c r="E35" s="250"/>
    </row>
    <row r="36" spans="2:8" ht="12" thickTop="1">
      <c r="B36" t="s">
        <v>815</v>
      </c>
      <c r="D36" s="20">
        <f>D33</f>
        <v>33990756.299999997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" activePane="bottomLeft" state="frozen"/>
      <selection pane="bottomLeft" activeCell="A175" sqref="A175:A179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Oyster River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1648389.85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1178013.6400000001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151624.38</v>
      </c>
      <c r="D11" s="95">
        <f>'DOE25'!G12</f>
        <v>10206.1</v>
      </c>
      <c r="E11" s="95">
        <f>'DOE25'!H12</f>
        <v>-161830.48000000001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272172.84999999998</v>
      </c>
      <c r="D13" s="95">
        <f>'DOE25'!G14</f>
        <v>16210.58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23233.75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12902.16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2095420.83</v>
      </c>
      <c r="D18" s="41">
        <f>SUM(D8:D17)</f>
        <v>26416.68</v>
      </c>
      <c r="E18" s="41">
        <f>SUM(E8:E17)</f>
        <v>-148928.32000000001</v>
      </c>
      <c r="F18" s="41">
        <f>SUM(F8:F17)</f>
        <v>0</v>
      </c>
      <c r="G18" s="41">
        <f>SUM(G8:G17)</f>
        <v>1178013.6400000001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69007.100000000006</v>
      </c>
      <c r="D23" s="95">
        <f>'DOE25'!G24</f>
        <v>404.61</v>
      </c>
      <c r="E23" s="95">
        <f>'DOE25'!H24</f>
        <v>1336.92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762544.48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18375</v>
      </c>
      <c r="D29" s="95">
        <f>'DOE25'!G30</f>
        <v>26012.07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12919.85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6.81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862846.42999999993</v>
      </c>
      <c r="D31" s="41">
        <f>SUM(D21:D30)</f>
        <v>26416.68</v>
      </c>
      <c r="E31" s="41">
        <f>SUM(E21:E30)</f>
        <v>1336.92</v>
      </c>
      <c r="F31" s="41">
        <f>SUM(F21:F30)</f>
        <v>0</v>
      </c>
      <c r="G31" s="41">
        <f>SUM(G21:G30)</f>
        <v>6.81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1178006.83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154241.4</v>
      </c>
      <c r="D46" s="95">
        <f>'DOE25'!G47</f>
        <v>0</v>
      </c>
      <c r="E46" s="95">
        <f>'DOE25'!H47</f>
        <v>-172455.97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88162.82</v>
      </c>
      <c r="D47" s="95">
        <f>'DOE25'!G48</f>
        <v>0</v>
      </c>
      <c r="E47" s="95">
        <f>'DOE25'!H48</f>
        <v>22190.73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990170.17999999982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1232574.3999999999</v>
      </c>
      <c r="D49" s="41">
        <f>SUM(D34:D48)</f>
        <v>0</v>
      </c>
      <c r="E49" s="41">
        <f>SUM(E34:E48)</f>
        <v>-150265.24</v>
      </c>
      <c r="F49" s="41">
        <f>SUM(F34:F48)</f>
        <v>0</v>
      </c>
      <c r="G49" s="41">
        <f>SUM(G34:G48)</f>
        <v>1178006.83</v>
      </c>
      <c r="H49" s="124"/>
      <c r="I49" s="124"/>
    </row>
    <row r="50" spans="1:9" ht="12" thickTop="1">
      <c r="A50" s="38" t="s">
        <v>895</v>
      </c>
      <c r="B50" s="2"/>
      <c r="C50" s="41">
        <f>C49+C31</f>
        <v>2095420.8299999998</v>
      </c>
      <c r="D50" s="41">
        <f>D49+D31</f>
        <v>26416.68</v>
      </c>
      <c r="E50" s="41">
        <f>E49+E31</f>
        <v>-148928.31999999998</v>
      </c>
      <c r="F50" s="41">
        <f>F49+F31</f>
        <v>0</v>
      </c>
      <c r="G50" s="41">
        <f>G49+G31</f>
        <v>1178013.6400000001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25206182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632103.31999999995</v>
      </c>
      <c r="D56" s="24" t="s">
        <v>289</v>
      </c>
      <c r="E56" s="95">
        <f>'DOE25'!H78</f>
        <v>8410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14854.54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9290.83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509.98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473719.63999999996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66431.11</v>
      </c>
      <c r="D60" s="95">
        <f>SUM('DOE25'!G97:G109)</f>
        <v>0</v>
      </c>
      <c r="E60" s="95">
        <f>SUM('DOE25'!H97:H109)</f>
        <v>10390.969999999999</v>
      </c>
      <c r="F60" s="95">
        <f>SUM('DOE25'!I97:I109)</f>
        <v>0</v>
      </c>
      <c r="G60" s="95">
        <f>SUM('DOE25'!J97:J109)</f>
        <v>6016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722679.79999999993</v>
      </c>
      <c r="D61" s="130">
        <f>SUM(D56:D60)</f>
        <v>473719.63999999996</v>
      </c>
      <c r="E61" s="130">
        <f>SUM(E56:E60)</f>
        <v>18800.97</v>
      </c>
      <c r="F61" s="130">
        <f>SUM(F56:F60)</f>
        <v>0</v>
      </c>
      <c r="G61" s="130">
        <f>SUM(G56:G60)</f>
        <v>6525.98</v>
      </c>
      <c r="H61"/>
      <c r="I61"/>
    </row>
    <row r="62" spans="1:9" ht="12" thickTop="1">
      <c r="A62" s="29" t="s">
        <v>175</v>
      </c>
      <c r="B62" s="6"/>
      <c r="C62" s="22">
        <f>C55+C61</f>
        <v>25928861.800000001</v>
      </c>
      <c r="D62" s="22">
        <f>D55+D61</f>
        <v>473719.63999999996</v>
      </c>
      <c r="E62" s="22">
        <f>E55+E61</f>
        <v>18800.97</v>
      </c>
      <c r="F62" s="22">
        <f>F55+F61</f>
        <v>0</v>
      </c>
      <c r="G62" s="22">
        <f>G55+G61</f>
        <v>6525.98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4909768.01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3595652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4253.99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8509674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552618.23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75410.31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2154.52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4978.91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630183.06000000006</v>
      </c>
      <c r="D77" s="130">
        <f>SUM(D71:D76)</f>
        <v>4978.91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9139857.0600000005</v>
      </c>
      <c r="D80" s="130">
        <f>SUM(D78:D79)+D77+D69</f>
        <v>4978.91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182451.96</v>
      </c>
      <c r="D87" s="95">
        <f>SUM('DOE25'!G152:G160)</f>
        <v>67659.92</v>
      </c>
      <c r="E87" s="95">
        <f>SUM('DOE25'!H152:H160)</f>
        <v>1164610.1600000001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182451.96</v>
      </c>
      <c r="D90" s="131">
        <f>SUM(D84:D89)</f>
        <v>67659.92</v>
      </c>
      <c r="E90" s="131">
        <f>SUM(E84:E89)</f>
        <v>1164610.1600000001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98080.14</v>
      </c>
      <c r="E95" s="95">
        <f>'DOE25'!H178</f>
        <v>0</v>
      </c>
      <c r="F95" s="95">
        <f>'DOE25'!I178</f>
        <v>0</v>
      </c>
      <c r="G95" s="95">
        <f>'DOE25'!J178</f>
        <v>125000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132050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111750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243800</v>
      </c>
      <c r="D102" s="86">
        <f>SUM(D92:D101)</f>
        <v>98080.14</v>
      </c>
      <c r="E102" s="86">
        <f>SUM(E92:E101)</f>
        <v>0</v>
      </c>
      <c r="F102" s="86">
        <f>SUM(F92:F101)</f>
        <v>0</v>
      </c>
      <c r="G102" s="86">
        <f>SUM(G92:G101)</f>
        <v>125000</v>
      </c>
    </row>
    <row r="103" spans="1:7" ht="12.75" thickTop="1" thickBot="1">
      <c r="A103" s="33" t="s">
        <v>765</v>
      </c>
      <c r="C103" s="86">
        <f>C62+C80+C90+C102</f>
        <v>35494970.82</v>
      </c>
      <c r="D103" s="86">
        <f>D62+D80+D90+D102</f>
        <v>644438.61</v>
      </c>
      <c r="E103" s="86">
        <f>E62+E80+E90+E102</f>
        <v>1183411.1300000001</v>
      </c>
      <c r="F103" s="86">
        <f>F62+F80+F90+F102</f>
        <v>0</v>
      </c>
      <c r="G103" s="86">
        <f>G62+G80+G102</f>
        <v>131525.98000000001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14143976.27</v>
      </c>
      <c r="D108" s="24" t="s">
        <v>289</v>
      </c>
      <c r="E108" s="95">
        <f>('DOE25'!L275)+('DOE25'!L294)+('DOE25'!L313)</f>
        <v>476014.82999999996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6425598.29</v>
      </c>
      <c r="D109" s="24" t="s">
        <v>289</v>
      </c>
      <c r="E109" s="95">
        <f>('DOE25'!L276)+('DOE25'!L295)+('DOE25'!L314)</f>
        <v>394496.78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18832.64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688668.57000000007</v>
      </c>
      <c r="D111" s="24" t="s">
        <v>289</v>
      </c>
      <c r="E111" s="95">
        <f>+('DOE25'!L278)+('DOE25'!L297)+('DOE25'!L316)</f>
        <v>30045.8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21277075.77</v>
      </c>
      <c r="D114" s="86">
        <f>SUM(D108:D113)</f>
        <v>0</v>
      </c>
      <c r="E114" s="86">
        <f>SUM(E108:E113)</f>
        <v>900557.41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3214596.25</v>
      </c>
      <c r="D117" s="24" t="s">
        <v>289</v>
      </c>
      <c r="E117" s="95">
        <f>+('DOE25'!L280)+('DOE25'!L299)+('DOE25'!L318)</f>
        <v>13899.999999999998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942801.12</v>
      </c>
      <c r="D118" s="24" t="s">
        <v>289</v>
      </c>
      <c r="E118" s="95">
        <f>+('DOE25'!L281)+('DOE25'!L300)+('DOE25'!L319)</f>
        <v>1384.57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1163401.25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1544742.04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516674.96</v>
      </c>
      <c r="D121" s="24" t="s">
        <v>289</v>
      </c>
      <c r="E121" s="95">
        <f>+('DOE25'!L284)+('DOE25'!L303)+('DOE25'!L322)</f>
        <v>1500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3291926.18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1927749.6</v>
      </c>
      <c r="D123" s="24" t="s">
        <v>289</v>
      </c>
      <c r="E123" s="95">
        <f>+('DOE25'!L286)+('DOE25'!L305)+('DOE25'!L324)</f>
        <v>643.89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8367.75</v>
      </c>
      <c r="D124" s="24" t="s">
        <v>289</v>
      </c>
      <c r="E124" s="95">
        <f>+('DOE25'!L287)+('DOE25'!L306)+('DOE25'!L325)</f>
        <v>1230.0700000000002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644438.61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12610259.15</v>
      </c>
      <c r="D127" s="86">
        <f>SUM(D117:D126)</f>
        <v>644438.61</v>
      </c>
      <c r="E127" s="86">
        <f>SUM(E117:E126)</f>
        <v>18658.53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283955.89999999997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1185000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540495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98080.14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79.13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131446.84999999998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-6525.9799999999814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2232531.04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36119865.960000001</v>
      </c>
      <c r="D144" s="86">
        <f>(D114+D127+D143)</f>
        <v>644438.61</v>
      </c>
      <c r="E144" s="86">
        <f>(E114+E127+E143)</f>
        <v>919215.94000000006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15</v>
      </c>
      <c r="E150" s="153">
        <f>'DOE25'!I489</f>
        <v>20</v>
      </c>
      <c r="F150" s="153">
        <f>'DOE25'!J489</f>
        <v>20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 t="str">
        <f>'DOE25'!H490</f>
        <v>06/97</v>
      </c>
      <c r="E151" s="152" t="str">
        <f>'DOE25'!I490</f>
        <v>11/01</v>
      </c>
      <c r="F151" s="152" t="str">
        <f>'DOE25'!J490</f>
        <v>08/03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 t="str">
        <f>'DOE25'!H491</f>
        <v>07/11</v>
      </c>
      <c r="E152" s="152" t="str">
        <f>'DOE25'!I491</f>
        <v>11/21</v>
      </c>
      <c r="F152" s="152" t="str">
        <f>'DOE25'!J491</f>
        <v>02/23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2500000</v>
      </c>
      <c r="E153" s="137">
        <f>'DOE25'!I492</f>
        <v>2300000</v>
      </c>
      <c r="F153" s="137">
        <f>'DOE25'!J492</f>
        <v>20406711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5.26</v>
      </c>
      <c r="E154" s="137">
        <f>'DOE25'!I493</f>
        <v>4.22</v>
      </c>
      <c r="F154" s="137">
        <f>'DOE25'!J493</f>
        <v>4.09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50000</v>
      </c>
      <c r="E155" s="137">
        <f>'DOE25'!I494</f>
        <v>1265000</v>
      </c>
      <c r="F155" s="137">
        <f>'DOE25'!J494</f>
        <v>12240000</v>
      </c>
      <c r="G155" s="138">
        <f>SUM(B155:F155)</f>
        <v>13555000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50000</v>
      </c>
      <c r="E157" s="137">
        <f>'DOE25'!I496</f>
        <v>115000</v>
      </c>
      <c r="F157" s="137">
        <f>'DOE25'!J496</f>
        <v>1020000</v>
      </c>
      <c r="G157" s="138">
        <f t="shared" si="0"/>
        <v>1185000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1150000</v>
      </c>
      <c r="F158" s="137">
        <f>'DOE25'!J497</f>
        <v>11220000</v>
      </c>
      <c r="G158" s="138">
        <f t="shared" si="0"/>
        <v>12370000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259554</v>
      </c>
      <c r="F159" s="137">
        <f>'DOE25'!J498</f>
        <v>2700195</v>
      </c>
      <c r="G159" s="138">
        <f t="shared" si="0"/>
        <v>2959749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1409554</v>
      </c>
      <c r="F160" s="137">
        <f>'DOE25'!J499</f>
        <v>13920195</v>
      </c>
      <c r="G160" s="138">
        <f t="shared" si="0"/>
        <v>15329749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115000</v>
      </c>
      <c r="F161" s="137">
        <f>'DOE25'!J500</f>
        <v>1020000</v>
      </c>
      <c r="G161" s="138">
        <f t="shared" si="0"/>
        <v>1135000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47955</v>
      </c>
      <c r="F162" s="137">
        <f>'DOE25'!J501</f>
        <v>450840</v>
      </c>
      <c r="G162" s="138">
        <f t="shared" si="0"/>
        <v>498795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162955</v>
      </c>
      <c r="F163" s="137">
        <f>'DOE25'!J502</f>
        <v>1470840</v>
      </c>
      <c r="G163" s="138">
        <f t="shared" si="0"/>
        <v>1633795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29" sqref="C29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Oyster River Coop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16703</v>
      </c>
    </row>
    <row r="5" spans="1:4">
      <c r="B5" t="s">
        <v>704</v>
      </c>
      <c r="C5" s="179">
        <f>IF('DOE25'!G664+'DOE25'!G669=0,0,ROUND('DOE25'!G671,0))</f>
        <v>16501</v>
      </c>
    </row>
    <row r="6" spans="1:4">
      <c r="B6" t="s">
        <v>62</v>
      </c>
      <c r="C6" s="179">
        <f>IF('DOE25'!H664+'DOE25'!H669=0,0,ROUND('DOE25'!H671,0))</f>
        <v>16304</v>
      </c>
    </row>
    <row r="7" spans="1:4">
      <c r="B7" t="s">
        <v>705</v>
      </c>
      <c r="C7" s="179">
        <f>IF('DOE25'!I664+'DOE25'!I669=0,0,ROUND('DOE25'!I671,0))</f>
        <v>16502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14619991</v>
      </c>
      <c r="D10" s="182">
        <f>ROUND((C10/$C$28)*100,1)</f>
        <v>41.2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6820095</v>
      </c>
      <c r="D11" s="182">
        <f>ROUND((C11/$C$28)*100,1)</f>
        <v>19.2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18833</v>
      </c>
      <c r="D12" s="182">
        <f>ROUND((C12/$C$28)*100,1)</f>
        <v>0.1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718714</v>
      </c>
      <c r="D13" s="182">
        <f>ROUND((C13/$C$28)*100,1)</f>
        <v>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3228496</v>
      </c>
      <c r="D15" s="182">
        <f t="shared" ref="D15:D27" si="0">ROUND((C15/$C$28)*100,1)</f>
        <v>9.1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944186</v>
      </c>
      <c r="D16" s="182">
        <f t="shared" si="0"/>
        <v>2.7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1172999</v>
      </c>
      <c r="D17" s="182">
        <f t="shared" si="0"/>
        <v>3.3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1544742</v>
      </c>
      <c r="D18" s="182">
        <f t="shared" si="0"/>
        <v>4.3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518175</v>
      </c>
      <c r="D19" s="182">
        <f t="shared" si="0"/>
        <v>1.5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3291926</v>
      </c>
      <c r="D20" s="182">
        <f t="shared" si="0"/>
        <v>9.3000000000000007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1928393</v>
      </c>
      <c r="D21" s="182">
        <f t="shared" si="0"/>
        <v>5.4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540495</v>
      </c>
      <c r="D25" s="182">
        <f t="shared" si="0"/>
        <v>1.5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170719.36000000004</v>
      </c>
      <c r="D27" s="182">
        <f t="shared" si="0"/>
        <v>0.5</v>
      </c>
    </row>
    <row r="28" spans="1:4">
      <c r="B28" s="187" t="s">
        <v>723</v>
      </c>
      <c r="C28" s="180">
        <f>SUM(C10:C27)</f>
        <v>35517764.359999999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283956</v>
      </c>
    </row>
    <row r="30" spans="1:4">
      <c r="B30" s="187" t="s">
        <v>729</v>
      </c>
      <c r="C30" s="180">
        <f>SUM(C28:C29)</f>
        <v>35801720.359999999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1185000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25206182</v>
      </c>
      <c r="D35" s="182">
        <f t="shared" ref="D35:D40" si="1">ROUND((C35/$C$41)*100,1)</f>
        <v>68.8</v>
      </c>
    </row>
    <row r="36" spans="1:4">
      <c r="B36" s="185" t="s">
        <v>743</v>
      </c>
      <c r="C36" s="179">
        <f>SUM('DOE25'!F111:J111)-SUM('DOE25'!G96:G109)+('DOE25'!F173+'DOE25'!F174+'DOE25'!I173+'DOE25'!I174)-C35</f>
        <v>748006.75</v>
      </c>
      <c r="D36" s="182">
        <f t="shared" si="1"/>
        <v>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8509674</v>
      </c>
      <c r="D37" s="182">
        <f t="shared" si="1"/>
        <v>23.2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635162</v>
      </c>
      <c r="D38" s="182">
        <f t="shared" si="1"/>
        <v>1.7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1414722</v>
      </c>
      <c r="D39" s="182">
        <f t="shared" si="1"/>
        <v>3.9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111750</v>
      </c>
      <c r="D40" s="182">
        <f t="shared" si="1"/>
        <v>0.3</v>
      </c>
    </row>
    <row r="41" spans="1:4">
      <c r="B41" s="187" t="s">
        <v>736</v>
      </c>
      <c r="C41" s="180">
        <f>SUM(C35:C40)</f>
        <v>36625496.75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Oyster River Coop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DC39:DM39"/>
    <mergeCell ref="IP38:IV38"/>
    <mergeCell ref="FC40:FM40"/>
    <mergeCell ref="FP40:FZ40"/>
    <mergeCell ref="CC40:CM40"/>
    <mergeCell ref="CP40:CZ40"/>
    <mergeCell ref="EC40:EM40"/>
    <mergeCell ref="C46:M46"/>
    <mergeCell ref="GC40:GM40"/>
    <mergeCell ref="GP40:GZ40"/>
    <mergeCell ref="HC40:HM40"/>
    <mergeCell ref="C45:M45"/>
    <mergeCell ref="DC40:DM40"/>
    <mergeCell ref="DP40:DZ40"/>
    <mergeCell ref="C40:M40"/>
    <mergeCell ref="C44:M44"/>
    <mergeCell ref="C43:M43"/>
    <mergeCell ref="EP40:EZ40"/>
    <mergeCell ref="IC40:IM40"/>
    <mergeCell ref="IP40:IV40"/>
    <mergeCell ref="HP40:HZ40"/>
    <mergeCell ref="DP39:DZ39"/>
    <mergeCell ref="AP40:AZ40"/>
    <mergeCell ref="P40:Z40"/>
    <mergeCell ref="BC31:BM31"/>
    <mergeCell ref="BC32:BM32"/>
    <mergeCell ref="BC39:BM39"/>
    <mergeCell ref="BC40:BM40"/>
    <mergeCell ref="CP31:CZ31"/>
    <mergeCell ref="BP40:BZ40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GC39:GM39"/>
    <mergeCell ref="EC39:EM39"/>
    <mergeCell ref="BP39:BZ39"/>
    <mergeCell ref="CC39:CM39"/>
    <mergeCell ref="CP39:CZ39"/>
    <mergeCell ref="IP32:IV32"/>
    <mergeCell ref="FC32:FM32"/>
    <mergeCell ref="IP31:IV31"/>
    <mergeCell ref="HP38:HZ38"/>
    <mergeCell ref="GC38:GM38"/>
    <mergeCell ref="AC40:AM40"/>
    <mergeCell ref="P38:Z38"/>
    <mergeCell ref="AC38:AM38"/>
    <mergeCell ref="AP38:AZ38"/>
    <mergeCell ref="C35:M35"/>
    <mergeCell ref="C36:M36"/>
    <mergeCell ref="CP38:CZ38"/>
    <mergeCell ref="C39:M39"/>
    <mergeCell ref="P39:Z39"/>
    <mergeCell ref="AC39:AM39"/>
    <mergeCell ref="AP39:AZ39"/>
    <mergeCell ref="BC38:BM38"/>
    <mergeCell ref="BP38:BZ38"/>
    <mergeCell ref="CC38:CM38"/>
    <mergeCell ref="IP29:IV29"/>
    <mergeCell ref="CC30:CM30"/>
    <mergeCell ref="CP30:CZ30"/>
    <mergeCell ref="HC30:HM30"/>
    <mergeCell ref="HP30:HZ30"/>
    <mergeCell ref="BC30:BM30"/>
    <mergeCell ref="BP30:BZ30"/>
    <mergeCell ref="C34:M34"/>
    <mergeCell ref="BP32:BZ32"/>
    <mergeCell ref="P32:Z32"/>
    <mergeCell ref="BP31:BZ31"/>
    <mergeCell ref="CC31:CM31"/>
    <mergeCell ref="CC32:CM32"/>
    <mergeCell ref="C33:M33"/>
    <mergeCell ref="DC32:DM32"/>
    <mergeCell ref="DP32:DZ32"/>
    <mergeCell ref="CP32:CZ32"/>
    <mergeCell ref="BC29:BM29"/>
    <mergeCell ref="BP29:BZ29"/>
    <mergeCell ref="CC29:CM29"/>
    <mergeCell ref="DC30:DM30"/>
    <mergeCell ref="DP30:DZ30"/>
    <mergeCell ref="GP29:GZ29"/>
    <mergeCell ref="IP30:IV30"/>
    <mergeCell ref="IC30:IM30"/>
    <mergeCell ref="DC38:DM38"/>
    <mergeCell ref="DP38:DZ38"/>
    <mergeCell ref="EC38:EM38"/>
    <mergeCell ref="EP38:EZ38"/>
    <mergeCell ref="FC38:FM38"/>
    <mergeCell ref="FP38:FZ38"/>
    <mergeCell ref="HC38:HM38"/>
    <mergeCell ref="IC38:IM38"/>
    <mergeCell ref="IC32:IM32"/>
    <mergeCell ref="EC32:EM32"/>
    <mergeCell ref="EP32:EZ32"/>
    <mergeCell ref="HC31:HM31"/>
    <mergeCell ref="DP31:DZ31"/>
    <mergeCell ref="EC31:EM31"/>
    <mergeCell ref="EP31:EZ31"/>
    <mergeCell ref="FC31:FM31"/>
    <mergeCell ref="IC31:IM31"/>
    <mergeCell ref="DC31:DM31"/>
    <mergeCell ref="FP31:FZ31"/>
    <mergeCell ref="GC31:GM31"/>
    <mergeCell ref="GP31:GZ31"/>
    <mergeCell ref="FP32:FZ32"/>
    <mergeCell ref="GC32:GM32"/>
    <mergeCell ref="EC30:EM30"/>
    <mergeCell ref="EP30:EZ30"/>
    <mergeCell ref="FC30:FM30"/>
    <mergeCell ref="FP30:FZ30"/>
    <mergeCell ref="HP31:HZ31"/>
    <mergeCell ref="GC30:GM30"/>
    <mergeCell ref="GP30:GZ30"/>
    <mergeCell ref="HP29:HZ29"/>
    <mergeCell ref="GP38:GZ38"/>
    <mergeCell ref="HP32:HZ32"/>
    <mergeCell ref="GP32:GZ32"/>
    <mergeCell ref="HC32:HM32"/>
    <mergeCell ref="IC29:IM29"/>
    <mergeCell ref="EP29:EZ29"/>
    <mergeCell ref="FC29:FM29"/>
    <mergeCell ref="FP29:FZ29"/>
    <mergeCell ref="GC29:GM29"/>
    <mergeCell ref="C16:M16"/>
    <mergeCell ref="C17:M17"/>
    <mergeCell ref="C27:M27"/>
    <mergeCell ref="C28:M28"/>
    <mergeCell ref="CP29:CZ29"/>
    <mergeCell ref="C29:M29"/>
    <mergeCell ref="AP29:AZ29"/>
    <mergeCell ref="HC29:HM29"/>
    <mergeCell ref="DC29:DM29"/>
    <mergeCell ref="DP29:DZ29"/>
    <mergeCell ref="EC29:EM29"/>
    <mergeCell ref="P31:Z31"/>
    <mergeCell ref="AC31:AM31"/>
    <mergeCell ref="AC32:AM32"/>
    <mergeCell ref="AP32:AZ32"/>
    <mergeCell ref="C18:M18"/>
    <mergeCell ref="C20:M20"/>
    <mergeCell ref="C23:M23"/>
    <mergeCell ref="C24:M24"/>
    <mergeCell ref="C25:M25"/>
    <mergeCell ref="C19:M19"/>
    <mergeCell ref="P29:Z29"/>
    <mergeCell ref="AC29:AM29"/>
    <mergeCell ref="C22:M22"/>
    <mergeCell ref="C21:M21"/>
    <mergeCell ref="C26:M26"/>
    <mergeCell ref="P30:Z30"/>
    <mergeCell ref="AC30:AM30"/>
    <mergeCell ref="AP30:AZ30"/>
    <mergeCell ref="AP31:AZ31"/>
    <mergeCell ref="A1:I1"/>
    <mergeCell ref="C3:M3"/>
    <mergeCell ref="C4:M4"/>
    <mergeCell ref="F2:I2"/>
    <mergeCell ref="A2:E2"/>
    <mergeCell ref="C14:M14"/>
    <mergeCell ref="C10:M10"/>
    <mergeCell ref="C13:M13"/>
    <mergeCell ref="C47:M47"/>
    <mergeCell ref="C5:M5"/>
    <mergeCell ref="C6:M6"/>
    <mergeCell ref="C7:M7"/>
    <mergeCell ref="C8:M8"/>
    <mergeCell ref="C9:M9"/>
    <mergeCell ref="C15:M15"/>
    <mergeCell ref="C11:M11"/>
    <mergeCell ref="C12:M12"/>
    <mergeCell ref="C37:M37"/>
    <mergeCell ref="C38:M38"/>
    <mergeCell ref="C42:M42"/>
    <mergeCell ref="C41:M41"/>
    <mergeCell ref="C32:M32"/>
    <mergeCell ref="C30:M30"/>
    <mergeCell ref="C31:M31"/>
    <mergeCell ref="C48:M48"/>
    <mergeCell ref="C49:M49"/>
    <mergeCell ref="C51:M51"/>
    <mergeCell ref="C59:M59"/>
    <mergeCell ref="C60:M60"/>
    <mergeCell ref="C58:M58"/>
    <mergeCell ref="C73:M73"/>
    <mergeCell ref="C74:M74"/>
    <mergeCell ref="C52:M52"/>
    <mergeCell ref="C50:M50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C65:M65"/>
    <mergeCell ref="C70:M70"/>
    <mergeCell ref="A72:E72"/>
    <mergeCell ref="C66:M66"/>
    <mergeCell ref="C67:M67"/>
    <mergeCell ref="C68:M68"/>
    <mergeCell ref="C69:M69"/>
    <mergeCell ref="C75:M75"/>
    <mergeCell ref="C76:M76"/>
    <mergeCell ref="C89:M89"/>
    <mergeCell ref="C90:M90"/>
    <mergeCell ref="C81:M81"/>
    <mergeCell ref="C82:M82"/>
    <mergeCell ref="C77:M77"/>
    <mergeCell ref="C78:M78"/>
    <mergeCell ref="C79:M79"/>
    <mergeCell ref="C80:M80"/>
    <mergeCell ref="C88:M88"/>
    <mergeCell ref="C83:M83"/>
    <mergeCell ref="C84:M84"/>
    <mergeCell ref="C85:M85"/>
    <mergeCell ref="C86:M86"/>
    <mergeCell ref="C87:M8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2012-10-15T12:46:13Z</cp:lastPrinted>
  <dcterms:created xsi:type="dcterms:W3CDTF">1997-12-04T19:04:30Z</dcterms:created>
  <dcterms:modified xsi:type="dcterms:W3CDTF">2012-11-21T15:15:29Z</dcterms:modified>
</cp:coreProperties>
</file>