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664" i="1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/>
  <c r="K289" i="1"/>
  <c r="K308" i="1"/>
  <c r="K327" i="1"/>
  <c r="G31" i="13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A22" i="12" s="1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L404" i="1"/>
  <c r="L405" i="1"/>
  <c r="L265" i="1"/>
  <c r="J59" i="1"/>
  <c r="G55" i="2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G59" i="1"/>
  <c r="H59" i="1"/>
  <c r="I59" i="1"/>
  <c r="F78" i="1"/>
  <c r="F93" i="1"/>
  <c r="F110" i="1"/>
  <c r="G110" i="1"/>
  <c r="G111" i="1"/>
  <c r="H78" i="1"/>
  <c r="H93" i="1"/>
  <c r="H110" i="1"/>
  <c r="I110" i="1"/>
  <c r="I111" i="1" s="1"/>
  <c r="J110" i="1"/>
  <c r="J111" i="1" s="1"/>
  <c r="F120" i="1"/>
  <c r="F135" i="1"/>
  <c r="F139" i="1"/>
  <c r="G120" i="1"/>
  <c r="G135" i="1"/>
  <c r="G139" i="1" s="1"/>
  <c r="H120" i="1"/>
  <c r="H135" i="1"/>
  <c r="I120" i="1"/>
  <c r="I135" i="1"/>
  <c r="I139" i="1" s="1"/>
  <c r="I192" i="1" s="1"/>
  <c r="G629" i="1" s="1"/>
  <c r="J629" i="1" s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F143" i="2" s="1"/>
  <c r="F144" i="2" s="1"/>
  <c r="D133" i="2"/>
  <c r="D143" i="2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J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/>
  <c r="F187" i="1"/>
  <c r="G187" i="1"/>
  <c r="H187" i="1"/>
  <c r="I187" i="1"/>
  <c r="I191" i="1" s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F433" i="1" s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64" i="1"/>
  <c r="G570" i="1" s="1"/>
  <c r="H559" i="1"/>
  <c r="I559" i="1"/>
  <c r="J559" i="1"/>
  <c r="K559" i="1"/>
  <c r="L561" i="1"/>
  <c r="L562" i="1"/>
  <c r="L563" i="1"/>
  <c r="F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G648" i="1"/>
  <c r="J648" i="1" s="1"/>
  <c r="I597" i="1"/>
  <c r="J597" i="1"/>
  <c r="H650" i="1" s="1"/>
  <c r="J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9" i="1"/>
  <c r="H649" i="1"/>
  <c r="J649" i="1" s="1"/>
  <c r="G650" i="1"/>
  <c r="G651" i="1"/>
  <c r="H651" i="1"/>
  <c r="G652" i="1"/>
  <c r="H652" i="1"/>
  <c r="J652" i="1"/>
  <c r="G653" i="1"/>
  <c r="H653" i="1"/>
  <c r="J653" i="1" s="1"/>
  <c r="H654" i="1"/>
  <c r="J351" i="1"/>
  <c r="F191" i="1"/>
  <c r="L255" i="1"/>
  <c r="L256" i="1" s="1"/>
  <c r="L270" i="1" s="1"/>
  <c r="G631" i="1" s="1"/>
  <c r="J631" i="1" s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L289" i="1"/>
  <c r="F659" i="1" s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D49" i="2"/>
  <c r="D50" i="2" s="1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/>
  <c r="D19" i="13"/>
  <c r="C19" i="13"/>
  <c r="D14" i="13"/>
  <c r="C14" i="13"/>
  <c r="E13" i="13"/>
  <c r="C13" i="13"/>
  <c r="C7" i="13"/>
  <c r="J616" i="1"/>
  <c r="C80" i="2"/>
  <c r="E77" i="2"/>
  <c r="E80" i="2" s="1"/>
  <c r="L426" i="1"/>
  <c r="J256" i="1"/>
  <c r="H647" i="1" s="1"/>
  <c r="J647" i="1" s="1"/>
  <c r="H111" i="1"/>
  <c r="F111" i="1"/>
  <c r="J640" i="1"/>
  <c r="J638" i="1"/>
  <c r="K604" i="1"/>
  <c r="G647" i="1"/>
  <c r="J570" i="1"/>
  <c r="K570" i="1"/>
  <c r="L432" i="1"/>
  <c r="L418" i="1"/>
  <c r="D80" i="2"/>
  <c r="I168" i="1"/>
  <c r="H168" i="1"/>
  <c r="J270" i="1"/>
  <c r="G551" i="1"/>
  <c r="E50" i="2"/>
  <c r="J643" i="1"/>
  <c r="J642" i="1"/>
  <c r="J475" i="1"/>
  <c r="H625" i="1"/>
  <c r="H475" i="1"/>
  <c r="H623" i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F168" i="1"/>
  <c r="F192" i="1" s="1"/>
  <c r="G626" i="1" s="1"/>
  <c r="J139" i="1"/>
  <c r="F570" i="1"/>
  <c r="H256" i="1"/>
  <c r="H270" i="1"/>
  <c r="G62" i="2"/>
  <c r="G103" i="2"/>
  <c r="G12" i="2"/>
  <c r="I551" i="1"/>
  <c r="K548" i="1"/>
  <c r="K549" i="1"/>
  <c r="G22" i="2"/>
  <c r="G31" i="2" s="1"/>
  <c r="J32" i="1"/>
  <c r="K597" i="1"/>
  <c r="G646" i="1" s="1"/>
  <c r="J646" i="1" s="1"/>
  <c r="K544" i="1"/>
  <c r="J551" i="1"/>
  <c r="H551" i="1"/>
  <c r="C29" i="10"/>
  <c r="I660" i="1"/>
  <c r="H139" i="1"/>
  <c r="L400" i="1"/>
  <c r="C138" i="2" s="1"/>
  <c r="L392" i="1"/>
  <c r="A13" i="12"/>
  <c r="F22" i="13"/>
  <c r="H25" i="13"/>
  <c r="J639" i="1"/>
  <c r="J633" i="1"/>
  <c r="H570" i="1"/>
  <c r="L559" i="1"/>
  <c r="J544" i="1"/>
  <c r="L336" i="1"/>
  <c r="H337" i="1"/>
  <c r="H351" i="1" s="1"/>
  <c r="F337" i="1"/>
  <c r="F351" i="1" s="1"/>
  <c r="G191" i="1"/>
  <c r="H191" i="1"/>
  <c r="E127" i="2"/>
  <c r="E144" i="2" s="1"/>
  <c r="F551" i="1"/>
  <c r="C35" i="10"/>
  <c r="C36" i="10" s="1"/>
  <c r="L308" i="1"/>
  <c r="D5" i="13"/>
  <c r="E16" i="13"/>
  <c r="C49" i="2"/>
  <c r="C50" i="2" s="1"/>
  <c r="J654" i="1"/>
  <c r="J644" i="1"/>
  <c r="J192" i="1"/>
  <c r="L569" i="1"/>
  <c r="I570" i="1"/>
  <c r="I544" i="1"/>
  <c r="J635" i="1"/>
  <c r="G36" i="2"/>
  <c r="H192" i="1"/>
  <c r="G628" i="1"/>
  <c r="J628" i="1" s="1"/>
  <c r="L564" i="1"/>
  <c r="G544" i="1"/>
  <c r="L544" i="1"/>
  <c r="H544" i="1"/>
  <c r="K550" i="1"/>
  <c r="K551" i="1"/>
  <c r="C5" i="13"/>
  <c r="C22" i="13"/>
  <c r="F33" i="13"/>
  <c r="C137" i="2"/>
  <c r="C16" i="13"/>
  <c r="E33" i="13"/>
  <c r="D35" i="13" s="1"/>
  <c r="G659" i="1"/>
  <c r="D31" i="13"/>
  <c r="C31" i="13"/>
  <c r="L337" i="1"/>
  <c r="L351" i="1"/>
  <c r="G632" i="1" s="1"/>
  <c r="J632" i="1" s="1"/>
  <c r="C25" i="13"/>
  <c r="H33" i="13"/>
  <c r="G630" i="1"/>
  <c r="J630" i="1" s="1"/>
  <c r="G645" i="1"/>
  <c r="D33" i="13"/>
  <c r="D36" i="13" s="1"/>
  <c r="G663" i="1"/>
  <c r="G671" i="1" s="1"/>
  <c r="G666" i="1"/>
  <c r="J624" i="1" l="1"/>
  <c r="J619" i="1"/>
  <c r="K433" i="1"/>
  <c r="G133" i="2" s="1"/>
  <c r="G143" i="2" s="1"/>
  <c r="G144" i="2" s="1"/>
  <c r="L433" i="1"/>
  <c r="G637" i="1" s="1"/>
  <c r="J637" i="1" s="1"/>
  <c r="H671" i="1"/>
  <c r="C6" i="10" s="1"/>
  <c r="H666" i="1"/>
  <c r="G16" i="2"/>
  <c r="G18" i="2" s="1"/>
  <c r="J19" i="1"/>
  <c r="G620" i="1" s="1"/>
  <c r="C139" i="2"/>
  <c r="C140" i="2" s="1"/>
  <c r="C143" i="2" s="1"/>
  <c r="C144" i="2" s="1"/>
  <c r="L407" i="1"/>
  <c r="F663" i="1"/>
  <c r="I659" i="1"/>
  <c r="I663" i="1" s="1"/>
  <c r="G42" i="2"/>
  <c r="J50" i="1"/>
  <c r="L570" i="1"/>
  <c r="C38" i="10"/>
  <c r="C103" i="2"/>
  <c r="J651" i="1"/>
  <c r="J641" i="1"/>
  <c r="I433" i="1"/>
  <c r="G433" i="1"/>
  <c r="E90" i="2"/>
  <c r="G168" i="1"/>
  <c r="C39" i="10" s="1"/>
  <c r="C41" i="10" s="1"/>
  <c r="G49" i="2"/>
  <c r="G50" i="2" s="1"/>
  <c r="D103" i="2"/>
  <c r="F544" i="1"/>
  <c r="H433" i="1"/>
  <c r="D102" i="2"/>
  <c r="G33" i="13"/>
  <c r="I671" i="1"/>
  <c r="C7" i="10" s="1"/>
  <c r="I666" i="1"/>
  <c r="J626" i="1"/>
  <c r="E103" i="2"/>
  <c r="F103" i="2"/>
  <c r="G634" i="1"/>
  <c r="J634" i="1" s="1"/>
  <c r="C27" i="10"/>
  <c r="D36" i="10" l="1"/>
  <c r="D38" i="10"/>
  <c r="G192" i="1"/>
  <c r="G627" i="1" s="1"/>
  <c r="J627" i="1" s="1"/>
  <c r="J51" i="1"/>
  <c r="H620" i="1" s="1"/>
  <c r="J620" i="1" s="1"/>
  <c r="G625" i="1"/>
  <c r="H645" i="1"/>
  <c r="J645" i="1" s="1"/>
  <c r="G636" i="1"/>
  <c r="J636" i="1" s="1"/>
  <c r="F671" i="1"/>
  <c r="C4" i="10" s="1"/>
  <c r="F666" i="1"/>
  <c r="C28" i="10"/>
  <c r="D37" i="10"/>
  <c r="D40" i="10"/>
  <c r="D39" i="10"/>
  <c r="D35" i="10"/>
  <c r="D41" i="10" s="1"/>
  <c r="J625" i="1" l="1"/>
  <c r="H655" i="1"/>
  <c r="D25" i="10"/>
  <c r="C30" i="10"/>
  <c r="D17" i="10"/>
  <c r="D11" i="10"/>
  <c r="D26" i="10"/>
  <c r="D18" i="10"/>
  <c r="D13" i="10"/>
  <c r="D20" i="10"/>
  <c r="D10" i="10"/>
  <c r="D23" i="10"/>
  <c r="D24" i="10"/>
  <c r="D22" i="10"/>
  <c r="D15" i="10"/>
  <c r="D19" i="10"/>
  <c r="D16" i="10"/>
  <c r="D12" i="10"/>
  <c r="D21" i="10"/>
  <c r="D27" i="10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<sst xmlns="http://schemas.openxmlformats.org/spreadsheetml/2006/main" count="3963" uniqueCount="923">
  <si>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</si>
  <si>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</si>
  <si>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</si>
  <si>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</si>
  <si>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</si>
  <si>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</si>
  <si>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</si>
  <si>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</si>
  <si>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</si>
  <si>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</si>
  <si>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</si>
  <si>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</si>
  <si>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</si>
  <si>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</si>
  <si>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</si>
  <si>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</si>
  <si>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</si>
  <si>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</si>
  <si>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</si>
  <si>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</si>
  <si>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</si>
  <si>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</si>
  <si>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</si>
  <si>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</si>
  <si>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</si>
  <si>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</si>
  <si>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</si>
  <si>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</si>
  <si>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</si>
  <si>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</si>
  <si>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</si>
  <si>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</si>
  <si>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</si>
  <si>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</si>
  <si>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</si>
  <si>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</si>
  <si>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</si>
  <si>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</si>
  <si>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</si>
  <si>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</si>
  <si>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</si>
  <si>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</si>
  <si>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</si>
  <si>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</si>
  <si>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</si>
  <si>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</si>
  <si>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</si>
  <si>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</si>
  <si>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</si>
  <si>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</si>
  <si>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</si>
  <si>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</si>
  <si>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</si>
  <si>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</si>
  <si>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</si>
  <si>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</si>
  <si>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</si>
  <si>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</si>
  <si>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</si>
  <si>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</si>
  <si>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</si>
  <si>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</si>
  <si>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</si>
  <si>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</si>
  <si>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</si>
  <si>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</si>
  <si>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</si>
  <si>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</si>
  <si>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</si>
  <si>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</si>
  <si>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</si>
  <si>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</si>
  <si>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</si>
  <si>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</si>
  <si>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</si>
  <si>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</si>
  <si>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</si>
  <si>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</si>
  <si>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</si>
  <si>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</si>
  <si>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</si>
  <si>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</si>
  <si>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</si>
  <si>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</si>
  <si>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</si>
  <si>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</si>
  <si>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</si>
  <si>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</si>
  <si>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</si>
  <si>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</si>
  <si>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</si>
  <si>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</si>
  <si>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</si>
  <si>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</si>
  <si>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</si>
  <si>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</si>
  <si>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</si>
  <si>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</si>
  <si>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</si>
  <si>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</si>
  <si>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</si>
  <si>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</si>
  <si>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</si>
  <si>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</si>
  <si>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</si>
  <si>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</si>
  <si>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</si>
  <si>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</si>
  <si>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</si>
  <si>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</si>
  <si>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</si>
  <si>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</si>
  <si>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</si>
  <si>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</si>
  <si>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</si>
  <si>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</si>
  <si>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</si>
  <si>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</si>
  <si>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</si>
  <si>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</si>
  <si>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</si>
  <si>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</si>
  <si>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</si>
  <si>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</si>
  <si>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</si>
  <si>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</si>
  <si>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</si>
  <si>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</si>
  <si>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</si>
  <si>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</si>
  <si>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</si>
  <si>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</si>
  <si>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</si>
  <si>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</si>
  <si>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</si>
  <si>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</si>
  <si>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</si>
  <si>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</si>
  <si>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</si>
  <si>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</si>
  <si>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</si>
  <si>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</si>
  <si>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</si>
  <si>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</si>
  <si>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</si>
  <si>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</si>
  <si>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</si>
  <si>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</si>
  <si>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</si>
  <si>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</si>
  <si>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</si>
  <si>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</si>
  <si>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</si>
  <si>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</si>
  <si>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</si>
  <si>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</si>
  <si>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</si>
  <si>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</si>
  <si>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</si>
  <si>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</si>
  <si>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</si>
  <si>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</si>
  <si>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</si>
  <si>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</si>
  <si>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</si>
  <si>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</si>
  <si>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</si>
  <si>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</si>
  <si>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</si>
  <si>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</si>
  <si>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</si>
  <si>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</si>
  <si>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</si>
  <si>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</si>
  <si>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</si>
  <si>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</si>
  <si>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</si>
  <si>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</si>
  <si>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</si>
  <si>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</si>
  <si>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</si>
  <si>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</si>
  <si>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</si>
  <si>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</si>
  <si>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</si>
  <si>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</si>
  <si>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</si>
  <si>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</si>
  <si>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</si>
  <si>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</si>
  <si>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</si>
  <si>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</si>
  <si>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</si>
  <si>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</si>
  <si>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</si>
  <si>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</si>
  <si>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</si>
  <si>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</si>
  <si>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</si>
  <si>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</si>
  <si>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</si>
  <si>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</si>
  <si>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</si>
  <si>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</si>
  <si>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</si>
  <si>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</si>
  <si>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</si>
  <si>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</si>
  <si>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</si>
  <si>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</si>
  <si>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</si>
  <si>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</si>
  <si>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</si>
  <si>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</si>
  <si>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</si>
  <si>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</si>
  <si>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</si>
  <si>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</si>
  <si>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</si>
  <si>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</si>
  <si>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</si>
  <si>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</si>
  <si>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</si>
  <si>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</si>
  <si>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</si>
  <si>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</si>
  <si>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</si>
  <si>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</si>
  <si>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</si>
  <si>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</si>
  <si>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</si>
  <si>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</si>
  <si>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</si>
  <si>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</si>
  <si>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</si>
  <si>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</si>
  <si>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</si>
  <si>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</si>
  <si>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</si>
  <si>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</si>
  <si>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</si>
  <si>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</si>
  <si>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</si>
  <si>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</si>
  <si>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</si>
  <si>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</si>
  <si>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</si>
  <si>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</si>
  <si>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</si>
  <si>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</si>
  <si>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</si>
  <si>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</si>
  <si>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</si>
  <si>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</si>
  <si>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</si>
  <si>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</si>
  <si>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</si>
  <si>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</si>
  <si>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</si>
  <si>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</si>
  <si>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</si>
  <si>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</si>
  <si>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</si>
  <si>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</si>
  <si>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</si>
  <si>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</si>
  <si>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</si>
  <si>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</si>
  <si>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</si>
  <si>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</si>
  <si>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</si>
  <si>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</si>
  <si>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</si>
  <si>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</si>
  <si>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</si>
  <si>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</si>
  <si>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</si>
  <si>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</si>
  <si>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</si>
  <si>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</si>
  <si>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</si>
  <si>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</si>
  <si>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</si>
  <si>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</si>
  <si>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</si>
  <si>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</si>
  <si>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</si>
  <si>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</si>
  <si>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</si>
  <si>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</si>
  <si>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</si>
  <si>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</si>
  <si>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</si>
  <si>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</si>
  <si>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</si>
  <si>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</si>
  <si>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</si>
  <si>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</si>
  <si>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</si>
  <si>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</si>
  <si>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</si>
  <si>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</si>
  <si>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</si>
  <si>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</si>
  <si>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</si>
  <si>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</si>
  <si>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</si>
  <si>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</si>
  <si>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</si>
  <si>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</si>
  <si>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</si>
  <si>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</si>
  <si>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</si>
  <si>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</si>
  <si>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</si>
  <si>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</si>
  <si>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</si>
  <si>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</si>
  <si>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</si>
  <si>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</si>
  <si>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</si>
  <si>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</si>
  <si>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</si>
  <si>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</si>
  <si>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</si>
  <si>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</si>
  <si>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</si>
  <si>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</si>
  <si>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</si>
  <si>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</si>
  <si>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</si>
  <si>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</si>
  <si>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</si>
  <si>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</si>
  <si>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</si>
  <si>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</si>
  <si>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</si>
  <si>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</si>
  <si>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</si>
  <si>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</si>
  <si>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</si>
  <si>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</si>
  <si>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</si>
  <si>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</si>
  <si>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</si>
  <si>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</si>
  <si>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</si>
  <si>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</si>
  <si>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</si>
  <si>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</si>
  <si>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</si>
  <si>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</si>
  <si>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</si>
  <si>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</si>
  <si>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</si>
  <si>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</si>
  <si>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</si>
  <si>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</si>
  <si>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</si>
  <si>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</si>
  <si>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</si>
  <si>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</si>
  <si>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</si>
  <si>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</si>
  <si>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</si>
  <si>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</si>
  <si>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</si>
  <si>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</si>
  <si>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</si>
  <si>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</si>
  <si>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</si>
  <si>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</si>
  <si>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</si>
  <si>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</si>
  <si>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</si>
  <si>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</si>
  <si>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</si>
  <si>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</si>
  <si>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</si>
  <si>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</si>
  <si>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</si>
  <si>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</si>
  <si>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</si>
  <si>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</si>
  <si>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</si>
  <si>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</si>
  <si>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</si>
  <si>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</si>
  <si>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</si>
  <si>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</si>
  <si>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</si>
  <si>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</si>
  <si>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</si>
  <si>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</si>
  <si>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</si>
  <si>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</si>
  <si>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</si>
  <si>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</si>
  <si>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</si>
  <si>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</si>
  <si>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</si>
  <si>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</si>
  <si>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</si>
  <si>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</si>
  <si>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</si>
  <si>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</si>
  <si>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</si>
  <si>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</si>
  <si>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</si>
  <si>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</si>
  <si>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</si>
  <si>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</si>
  <si>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</si>
  <si>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</si>
  <si>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</si>
  <si>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</si>
  <si>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</si>
  <si>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</si>
  <si>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</si>
  <si>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</si>
  <si>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</si>
  <si>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</si>
  <si>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</si>
  <si>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</si>
  <si>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</si>
  <si>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</si>
  <si>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</si>
  <si>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</si>
  <si>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</si>
  <si>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</si>
  <si>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</si>
  <si>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</si>
  <si>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</si>
  <si>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</si>
  <si>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</si>
  <si>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</si>
  <si>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</si>
  <si>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</si>
  <si>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</si>
  <si>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</si>
  <si>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</si>
  <si>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</si>
  <si>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</si>
  <si>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</si>
  <si>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</si>
  <si>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</si>
  <si>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</si>
  <si>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</si>
  <si>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</si>
  <si>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</si>
  <si>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</si>
  <si>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</si>
  <si>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</si>
  <si>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</si>
  <si>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</si>
  <si>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</si>
  <si>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</si>
  <si>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</si>
  <si>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</si>
  <si>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</si>
  <si>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</si>
  <si>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</si>
  <si>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</si>
  <si>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</si>
  <si>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</si>
  <si>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</si>
  <si>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</si>
  <si>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</si>
  <si>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</si>
  <si>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</si>
  <si>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</si>
  <si>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</si>
  <si>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</si>
  <si>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</si>
  <si>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</si>
  <si>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</si>
  <si>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</si>
  <si>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</si>
  <si>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</si>
  <si>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</si>
  <si>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</si>
  <si>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</si>
  <si>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</si>
  <si>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</si>
  <si>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</si>
  <si>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</si>
  <si>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</si>
  <si>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</si>
  <si>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</si>
  <si>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</si>
  <si>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</si>
  <si>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</si>
  <si>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</si>
  <si>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</si>
  <si>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</si>
  <si>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</si>
  <si>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</si>
  <si>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</si>
  <si>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</si>
  <si>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</si>
  <si>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</si>
  <si>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</si>
  <si>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</si>
  <si>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</si>
  <si>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</si>
  <si>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</si>
  <si>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</si>
  <si>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</si>
  <si>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</si>
  <si>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</si>
  <si>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</si>
  <si>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</si>
  <si>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</si>
  <si>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</si>
  <si>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</si>
  <si>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</si>
  <si>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</si>
  <si>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</si>
  <si>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</si>
  <si>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</si>
  <si>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</si>
  <si>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</si>
  <si>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</si>
  <si>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</si>
  <si>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</si>
  <si>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</si>
  <si>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</si>
  <si>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</si>
  <si>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</si>
  <si>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</si>
  <si>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</si>
  <si>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</si>
  <si>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</si>
  <si>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</si>
  <si>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</si>
  <si>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</si>
  <si>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</si>
  <si>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</si>
  <si>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</si>
  <si>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</si>
  <si>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</si>
  <si>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</si>
  <si>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</si>
  <si>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</si>
  <si>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</si>
  <si>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</si>
  <si>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</si>
  <si>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</si>
  <si>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</si>
  <si>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</si>
  <si>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</si>
  <si>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</si>
  <si>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</si>
  <si>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</si>
  <si>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</si>
  <si>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</si>
  <si>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</si>
  <si>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</si>
  <si>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</si>
  <si>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</si>
  <si>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</si>
  <si>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</si>
  <si>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</si>
  <si>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</si>
  <si>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</si>
  <si>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</si>
  <si>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</si>
  <si>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</si>
  <si>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</si>
  <si>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</si>
  <si>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</si>
  <si>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</si>
  <si>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</si>
  <si>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</si>
  <si>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</si>
  <si>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</si>
  <si>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</si>
  <si>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</si>
  <si>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</si>
  <si>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</si>
  <si>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</si>
  <si>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</si>
  <si>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</si>
  <si>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</si>
  <si>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</si>
  <si>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</si>
  <si>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</si>
  <si>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</si>
  <si>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</si>
  <si>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</si>
  <si>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</si>
  <si>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</si>
  <si>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</si>
  <si>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</si>
  <si>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</si>
  <si>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</si>
  <si>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</si>
  <si>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</si>
  <si>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</si>
  <si>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</si>
  <si>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</si>
  <si>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</si>
  <si>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</si>
  <si>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</si>
  <si>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</si>
  <si>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</si>
  <si>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</si>
  <si>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</si>
  <si>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</si>
  <si>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</si>
  <si>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</si>
  <si>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</si>
  <si>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</si>
  <si>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</si>
  <si>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</si>
  <si>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</si>
  <si>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</si>
  <si>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</si>
  <si>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</si>
  <si>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</si>
  <si>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</si>
  <si>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</si>
  <si>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</si>
  <si>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</si>
  <si>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</si>
  <si>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</si>
  <si>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</si>
  <si>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</si>
  <si>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</si>
  <si>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</si>
  <si>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</si>
  <si>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</si>
  <si>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</si>
  <si>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</si>
  <si>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</si>
  <si>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</si>
  <si>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</si>
  <si>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</si>
  <si>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</si>
  <si>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</si>
  <si>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</si>
  <si>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</si>
  <si>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</si>
  <si>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</si>
  <si>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</si>
  <si>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</si>
  <si>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</si>
  <si>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</si>
  <si>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</si>
  <si>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</si>
  <si>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</si>
  <si>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</si>
  <si>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</si>
  <si>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</si>
  <si>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</si>
  <si>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</si>
  <si>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</si>
  <si>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</si>
  <si>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</si>
  <si>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</si>
  <si>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</si>
  <si>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</si>
  <si>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</si>
  <si>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</si>
  <si>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</si>
  <si>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</si>
  <si>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</si>
  <si>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</si>
  <si>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</si>
  <si>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</si>
  <si>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</si>
  <si>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</si>
  <si>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</si>
  <si>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</si>
  <si>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</si>
  <si>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</si>
  <si>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</si>
  <si>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</si>
  <si>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</si>
  <si>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</si>
  <si>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</si>
  <si>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</si>
  <si>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</si>
  <si>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</si>
  <si>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</si>
  <si>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</si>
  <si>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</si>
  <si>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</si>
  <si>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</si>
  <si>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</si>
  <si>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</si>
  <si>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</si>
  <si>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</si>
  <si>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</si>
  <si>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</si>
  <si>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</si>
  <si>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</si>
  <si>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</si>
  <si>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</si>
  <si>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</si>
  <si>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</si>
  <si>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</si>
  <si>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</si>
  <si>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</si>
  <si>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</si>
  <si>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</si>
  <si>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</si>
  <si>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</si>
  <si>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</si>
  <si>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</si>
  <si>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</si>
  <si>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</si>
  <si>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</si>
  <si>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</si>
  <si>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</si>
  <si>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</si>
  <si>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</si>
  <si>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</si>
  <si>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</si>
  <si>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</si>
  <si>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</si>
  <si>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</si>
  <si>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</si>
  <si>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</si>
  <si>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</si>
  <si>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</si>
  <si>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</si>
  <si>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</si>
  <si>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</si>
  <si>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</si>
  <si>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</si>
  <si>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</si>
  <si>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</si>
  <si>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</si>
  <si>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</si>
  <si>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</si>
  <si>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</si>
  <si>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</si>
  <si>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</si>
  <si>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</si>
  <si>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</si>
  <si>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</si>
  <si>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</si>
  <si>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</si>
  <si>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</si>
  <si>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</si>
  <si>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</si>
  <si>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</si>
  <si>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</si>
  <si>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</si>
  <si>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</si>
  <si>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</si>
  <si>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</si>
  <si>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</si>
  <si>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</si>
  <si>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</si>
  <si>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</si>
  <si>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</si>
  <si>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</si>
  <si>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</si>
  <si>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</si>
  <si>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</si>
  <si>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</si>
  <si>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</si>
  <si>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</si>
  <si>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</si>
  <si>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</si>
  <si>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</si>
  <si>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</si>
  <si>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</si>
  <si>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</si>
  <si>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</si>
  <si>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</si>
  <si>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</si>
  <si>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</si>
  <si>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</si>
  <si>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</si>
  <si>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</si>
  <si>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</si>
  <si>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</si>
  <si>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</si>
  <si>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</si>
  <si>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</si>
  <si>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</si>
  <si>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</si>
  <si>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</si>
  <si>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</si>
  <si>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</si>
  <si>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</si>
  <si>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</si>
  <si>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</si>
  <si>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</si>
  <si>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</si>
  <si>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</si>
  <si>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</si>
  <si>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</si>
  <si>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</si>
  <si>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</si>
  <si>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</si>
  <si>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</si>
  <si>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</si>
  <si>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</si>
  <si>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</si>
  <si>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</si>
  <si>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</si>
  <si>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</si>
  <si>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</si>
  <si>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</si>
  <si>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</si>
  <si>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</si>
  <si>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</si>
  <si>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</si>
  <si>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</si>
  <si>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</si>
  <si>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</si>
  <si>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</si>
  <si>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</si>
  <si>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</si>
  <si>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</si>
  <si>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</si>
  <si>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</si>
  <si>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</si>
  <si>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</si>
  <si>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</si>
  <si>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</si>
  <si>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</si>
  <si>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</si>
  <si>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</si>
  <si>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</si>
  <si>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</si>
  <si>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</si>
  <si>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</si>
  <si>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</si>
  <si>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</si>
  <si>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</si>
  <si>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</si>
  <si>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</si>
  <si>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</si>
  <si>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</si>
  <si>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</si>
  <si>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</si>
  <si>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</si>
  <si>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</si>
  <si>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</si>
  <si>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</si>
  <si>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</si>
  <si>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</si>
  <si>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</si>
  <si>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</si>
  <si>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</si>
  <si>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</si>
  <si>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</si>
  <si>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</si>
  <si>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</si>
  <si>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</si>
  <si>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</si>
  <si>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</si>
  <si>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</si>
  <si>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</si>
  <si>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</si>
  <si>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</si>
  <si>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</si>
  <si>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</si>
  <si>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</si>
  <si>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</si>
  <si>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</si>
  <si>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</si>
  <si>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</si>
  <si>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</si>
  <si>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</si>
  <si>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</si>
  <si>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</si>
  <si>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</si>
  <si>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</si>
  <si>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</si>
  <si>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</si>
  <si>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</si>
  <si>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</si>
  <si>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</si>
  <si>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</si>
  <si>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</si>
  <si>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</si>
  <si>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</si>
  <si>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</si>
  <si>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</si>
  <si>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</si>
  <si>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</si>
  <si>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</si>
  <si>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</si>
  <si>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</si>
  <si>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</si>
  <si>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</si>
  <si>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</si>
  <si>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</si>
  <si>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</si>
  <si>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</si>
  <si>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</si>
  <si>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</si>
  <si>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</si>
  <si>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</si>
  <si>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</si>
  <si>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</si>
  <si>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</si>
  <si>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</si>
  <si>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</si>
  <si>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</si>
  <si>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</si>
  <si>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</si>
  <si>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</si>
  <si>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PEMBROKE SCHOOL DISTRICT</t>
  </si>
  <si>
    <t>09/99</t>
  </si>
  <si>
    <t>09/15</t>
  </si>
  <si>
    <t>08/07</t>
  </si>
  <si>
    <t>11/22</t>
  </si>
  <si>
    <t>01/10</t>
  </si>
  <si>
    <t>07/25</t>
  </si>
  <si>
    <t>01/12</t>
  </si>
  <si>
    <t>01/22</t>
  </si>
  <si>
    <t>01/23</t>
  </si>
  <si>
    <t>Cost per Pupil</t>
  </si>
  <si>
    <t>ADM-A for 9-12 includes PACE ADM of 17.47.  - The district has reported their expenditures as tuition to another LEA see</t>
  </si>
  <si>
    <t>page 22 of the DOE-25.  In order to properly calcuate the CPP for the high school level - the DOE reduced their ADM-A 878.88</t>
  </si>
  <si>
    <t>to 861.41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</si>
</sst>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642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427</v>
      </c>
      <c r="C2" s="21">
        <v>427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526044.4</v>
      </c>
      <c r="G9" s="18">
        <v>284460.49</v>
      </c>
      <c r="H9" s="18"/>
      <c r="I9" s="18">
        <v>0</v>
      </c>
      <c r="J9" s="67">
        <f>SUM(I438)</f>
        <v>751276.04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142349.97</v>
      </c>
      <c r="G12" s="18"/>
      <c r="H12" s="18"/>
      <c r="I12" s="18">
        <v>131494.04999999999</v>
      </c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254001.41</v>
      </c>
      <c r="G13" s="18">
        <v>39481.26</v>
      </c>
      <c r="H13" s="18">
        <v>149090.85999999999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11220.52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306564.75</v>
      </c>
      <c r="G17" s="18">
        <v>4110.3</v>
      </c>
      <c r="H17" s="18">
        <v>1737</v>
      </c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1228960.53</v>
      </c>
      <c r="G19" s="41">
        <f>SUM(G9:G18)</f>
        <v>339272.57</v>
      </c>
      <c r="H19" s="41">
        <f>SUM(H9:H18)</f>
        <v>150827.85999999999</v>
      </c>
      <c r="I19" s="41">
        <f>SUM(I9:I18)</f>
        <v>131494.04999999999</v>
      </c>
      <c r="J19" s="41">
        <f>SUM(J9:J18)</f>
        <v>751276.04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 t="s">
        <v>287</v>
      </c>
      <c r="G22" s="18">
        <v>150211.15</v>
      </c>
      <c r="H22" s="18">
        <v>123632.87</v>
      </c>
      <c r="I22" s="18" t="s">
        <v>287</v>
      </c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396427.64</v>
      </c>
      <c r="G23" s="18">
        <v>2495.34</v>
      </c>
      <c r="H23" s="18">
        <v>27132.99</v>
      </c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0</v>
      </c>
      <c r="G24" s="18">
        <v>0</v>
      </c>
      <c r="H24" s="18">
        <v>0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114262.44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345871.76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4208.2</v>
      </c>
      <c r="G30" s="18"/>
      <c r="H30" s="18">
        <v>62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860770.04</v>
      </c>
      <c r="G32" s="41">
        <f>SUM(G22:G31)</f>
        <v>152706.49</v>
      </c>
      <c r="H32" s="41">
        <f>SUM(H22:H31)</f>
        <v>150827.85999999999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186566.08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131494.04999999999</v>
      </c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175000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751276.04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193190.49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368190.49</v>
      </c>
      <c r="G50" s="41">
        <f>SUM(G35:G49)</f>
        <v>186566.08</v>
      </c>
      <c r="H50" s="41">
        <f>SUM(H35:H49)</f>
        <v>0</v>
      </c>
      <c r="I50" s="41">
        <f>SUM(I35:I49)</f>
        <v>131494.04999999999</v>
      </c>
      <c r="J50" s="41">
        <f>SUM(J35:J49)</f>
        <v>751276.04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1228960.53</v>
      </c>
      <c r="G51" s="41">
        <f>G50+G32</f>
        <v>339272.56999999995</v>
      </c>
      <c r="H51" s="41">
        <f>H50+H32</f>
        <v>150827.85999999999</v>
      </c>
      <c r="I51" s="41">
        <f>I50+I32</f>
        <v>131494.04999999999</v>
      </c>
      <c r="J51" s="41">
        <f>J50+J32</f>
        <v>751276.04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9576191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9576191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33266.07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>
        <v>4327.5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15645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4643210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501999.48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0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5194120.5500000007</v>
      </c>
      <c r="G78" s="45" t="s">
        <v>289</v>
      </c>
      <c r="H78" s="41">
        <f>SUM(H62:H77)</f>
        <v>4327.5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2049.75</v>
      </c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6735.95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8785.7000000000007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190.92</v>
      </c>
      <c r="G95" s="18">
        <v>64.930000000000007</v>
      </c>
      <c r="H95" s="18"/>
      <c r="I95" s="18"/>
      <c r="J95" s="18">
        <v>313.82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436466.62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7832.6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33797.919999999998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14517.22</v>
      </c>
      <c r="G109" s="18">
        <v>777.49</v>
      </c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56338.66</v>
      </c>
      <c r="G110" s="41">
        <f>SUM(G95:G109)</f>
        <v>437309.04</v>
      </c>
      <c r="H110" s="41">
        <f>SUM(H95:H109)</f>
        <v>0</v>
      </c>
      <c r="I110" s="41">
        <f>SUM(I95:I109)</f>
        <v>0</v>
      </c>
      <c r="J110" s="41">
        <f>SUM(J95:J109)</f>
        <v>313.82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14835435.91</v>
      </c>
      <c r="G111" s="41">
        <f>G59+G110</f>
        <v>437309.04</v>
      </c>
      <c r="H111" s="41">
        <f>H59+H78+H93+H110</f>
        <v>4327.5</v>
      </c>
      <c r="I111" s="41">
        <f>I59+I110</f>
        <v>0</v>
      </c>
      <c r="J111" s="41">
        <f>J59+J110</f>
        <v>313.82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5521608.8899999997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1442997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4784.1099999999997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6969390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480540.81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563000.19999999995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10719.73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6627.47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18940.599999999999</v>
      </c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1073201.3400000001</v>
      </c>
      <c r="G135" s="41">
        <f>SUM(G122:G134)</f>
        <v>6627.47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8042591.3399999999</v>
      </c>
      <c r="G139" s="41">
        <f>G120+SUM(G135:G136)</f>
        <v>6627.47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281895.46999999997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298954.63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28752.44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247907.49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228071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148972.1</v>
      </c>
      <c r="I160" s="18">
        <v>0</v>
      </c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228071</v>
      </c>
      <c r="G161" s="41">
        <f>SUM(G149:G160)</f>
        <v>247907.49</v>
      </c>
      <c r="H161" s="41">
        <f>SUM(H149:H160)</f>
        <v>758574.6399999999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228071</v>
      </c>
      <c r="G168" s="41">
        <f>G146+G161+SUM(G162:G167)</f>
        <v>247907.49</v>
      </c>
      <c r="H168" s="41">
        <f>H146+H161+SUM(H162:H167)</f>
        <v>758574.6399999999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>
        <v>510000</v>
      </c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510000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2037.64</v>
      </c>
      <c r="H178" s="18"/>
      <c r="I178" s="18"/>
      <c r="J178" s="18">
        <v>200000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2037.64</v>
      </c>
      <c r="H182" s="41">
        <f>SUM(H178:H181)</f>
        <v>0</v>
      </c>
      <c r="I182" s="41">
        <f>SUM(I178:I181)</f>
        <v>0</v>
      </c>
      <c r="J182" s="41">
        <f>SUM(J178:J181)</f>
        <v>200000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11563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25553.8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37116.800000000003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37116.800000000003</v>
      </c>
      <c r="G191" s="41">
        <f>G182+SUM(G187:G190)</f>
        <v>2037.64</v>
      </c>
      <c r="H191" s="41">
        <f>+H182+SUM(H187:H190)</f>
        <v>0</v>
      </c>
      <c r="I191" s="41">
        <f>I176+I182+SUM(I187:I190)</f>
        <v>510000</v>
      </c>
      <c r="J191" s="41">
        <f>J182</f>
        <v>200000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23143215.050000001</v>
      </c>
      <c r="G192" s="47">
        <f>G111+G139+G168+G191</f>
        <v>693881.64</v>
      </c>
      <c r="H192" s="47">
        <f>H111+H139+H168+H191</f>
        <v>762902.1399999999</v>
      </c>
      <c r="I192" s="47">
        <f>I111+I139+I168+I191</f>
        <v>510000</v>
      </c>
      <c r="J192" s="47">
        <f>J111+J139+J191</f>
        <v>200313.82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3150202.87</v>
      </c>
      <c r="G196" s="18">
        <v>1585575.16</v>
      </c>
      <c r="H196" s="18">
        <v>32473.45</v>
      </c>
      <c r="I196" s="18">
        <v>114676.3</v>
      </c>
      <c r="J196" s="18">
        <v>84785.62</v>
      </c>
      <c r="K196" s="18">
        <v>0</v>
      </c>
      <c r="L196" s="19">
        <f>SUM(F196:K196)</f>
        <v>4967713.4000000004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1214637.53</v>
      </c>
      <c r="G197" s="18">
        <v>612864.16</v>
      </c>
      <c r="H197" s="18">
        <v>720704.03</v>
      </c>
      <c r="I197" s="18">
        <v>10850.6</v>
      </c>
      <c r="J197" s="18">
        <v>6236.99</v>
      </c>
      <c r="K197" s="18">
        <v>719</v>
      </c>
      <c r="L197" s="19">
        <f>SUM(F197:K197)</f>
        <v>2566012.31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43432.5</v>
      </c>
      <c r="G199" s="18">
        <v>22490.43</v>
      </c>
      <c r="H199" s="18">
        <v>4920</v>
      </c>
      <c r="I199" s="18">
        <v>1935.65</v>
      </c>
      <c r="J199" s="18">
        <v>149.99</v>
      </c>
      <c r="K199" s="18">
        <v>180</v>
      </c>
      <c r="L199" s="19">
        <f>SUM(F199:K199)</f>
        <v>73108.569999999992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263648.03000000003</v>
      </c>
      <c r="G201" s="18">
        <v>132131.26</v>
      </c>
      <c r="H201" s="18">
        <v>445942.35</v>
      </c>
      <c r="I201" s="18">
        <v>6833.02</v>
      </c>
      <c r="J201" s="18">
        <v>2844</v>
      </c>
      <c r="K201" s="18"/>
      <c r="L201" s="19">
        <f t="shared" ref="L201:L207" si="0">SUM(F201:K201)</f>
        <v>851398.66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119268.45</v>
      </c>
      <c r="G202" s="18">
        <v>90908.37</v>
      </c>
      <c r="H202" s="18">
        <v>16505.189999999999</v>
      </c>
      <c r="I202" s="18">
        <v>15742.33</v>
      </c>
      <c r="J202" s="18">
        <v>1314.8</v>
      </c>
      <c r="K202" s="18"/>
      <c r="L202" s="19">
        <f t="shared" si="0"/>
        <v>243739.13999999998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3911.42</v>
      </c>
      <c r="G203" s="18">
        <v>2811.3</v>
      </c>
      <c r="H203" s="18">
        <v>277583.15999999997</v>
      </c>
      <c r="I203" s="18">
        <v>1019.44</v>
      </c>
      <c r="J203" s="18"/>
      <c r="K203" s="18">
        <v>4257.12</v>
      </c>
      <c r="L203" s="19">
        <f t="shared" si="0"/>
        <v>289582.43999999994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496448.76</v>
      </c>
      <c r="G204" s="18">
        <v>251848.01</v>
      </c>
      <c r="H204" s="18">
        <v>27449.48</v>
      </c>
      <c r="I204" s="18">
        <v>7757.46</v>
      </c>
      <c r="J204" s="18">
        <v>3448.34</v>
      </c>
      <c r="K204" s="18">
        <v>2869.35</v>
      </c>
      <c r="L204" s="19">
        <f t="shared" si="0"/>
        <v>789821.39999999991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291897.06</v>
      </c>
      <c r="G206" s="18">
        <v>146187.78</v>
      </c>
      <c r="H206" s="18">
        <v>135221.63</v>
      </c>
      <c r="I206" s="18">
        <v>179944.2</v>
      </c>
      <c r="J206" s="18">
        <v>670</v>
      </c>
      <c r="K206" s="18"/>
      <c r="L206" s="19">
        <f t="shared" si="0"/>
        <v>753920.66999999993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469677.97</v>
      </c>
      <c r="I207" s="18"/>
      <c r="J207" s="18"/>
      <c r="K207" s="18"/>
      <c r="L207" s="19">
        <f t="shared" si="0"/>
        <v>469677.97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5583446.6200000001</v>
      </c>
      <c r="G210" s="41">
        <f t="shared" si="1"/>
        <v>2844816.4699999993</v>
      </c>
      <c r="H210" s="41">
        <f t="shared" si="1"/>
        <v>2130477.2599999998</v>
      </c>
      <c r="I210" s="41">
        <f t="shared" si="1"/>
        <v>338759</v>
      </c>
      <c r="J210" s="41">
        <f t="shared" si="1"/>
        <v>99449.74</v>
      </c>
      <c r="K210" s="41">
        <f t="shared" si="1"/>
        <v>8025.4699999999993</v>
      </c>
      <c r="L210" s="41">
        <f t="shared" si="1"/>
        <v>11004974.560000002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2597504.31</v>
      </c>
      <c r="G232" s="18">
        <v>1202514.5</v>
      </c>
      <c r="H232" s="18">
        <v>129252.2</v>
      </c>
      <c r="I232" s="18">
        <v>136868.10999999999</v>
      </c>
      <c r="J232" s="18">
        <v>108164.52</v>
      </c>
      <c r="K232" s="18">
        <v>1020</v>
      </c>
      <c r="L232" s="19">
        <f>SUM(F232:K232)</f>
        <v>4175323.64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830561.03</v>
      </c>
      <c r="G233" s="18">
        <v>383781.22</v>
      </c>
      <c r="H233" s="18">
        <v>545200.71</v>
      </c>
      <c r="I233" s="18">
        <v>12223.77</v>
      </c>
      <c r="J233" s="18">
        <v>7437.51</v>
      </c>
      <c r="K233" s="18">
        <v>3698.29</v>
      </c>
      <c r="L233" s="19">
        <f>SUM(F233:K233)</f>
        <v>1782902.53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588300.65</v>
      </c>
      <c r="G234" s="18">
        <v>271205.40000000002</v>
      </c>
      <c r="H234" s="18">
        <v>110462.12</v>
      </c>
      <c r="I234" s="18">
        <v>34373.83</v>
      </c>
      <c r="J234" s="18">
        <v>5061.8900000000003</v>
      </c>
      <c r="K234" s="18">
        <v>0</v>
      </c>
      <c r="L234" s="19">
        <f>SUM(F234:K234)</f>
        <v>1009403.89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264127</v>
      </c>
      <c r="G235" s="18">
        <v>122809.99</v>
      </c>
      <c r="H235" s="18">
        <v>63087.199999999997</v>
      </c>
      <c r="I235" s="18">
        <v>11293.52</v>
      </c>
      <c r="J235" s="18">
        <v>4478.92</v>
      </c>
      <c r="K235" s="18">
        <v>29541.99</v>
      </c>
      <c r="L235" s="19">
        <f>SUM(F235:K235)</f>
        <v>495338.62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388029.64</v>
      </c>
      <c r="G237" s="18">
        <v>179097.9</v>
      </c>
      <c r="H237" s="18">
        <v>363645.63</v>
      </c>
      <c r="I237" s="18">
        <v>3585.64</v>
      </c>
      <c r="J237" s="18">
        <v>294</v>
      </c>
      <c r="K237" s="18">
        <v>2135</v>
      </c>
      <c r="L237" s="19">
        <f t="shared" ref="L237:L243" si="4">SUM(F237:K237)</f>
        <v>936787.81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83792.19</v>
      </c>
      <c r="G238" s="18">
        <v>70611.62</v>
      </c>
      <c r="H238" s="18">
        <v>13940.27</v>
      </c>
      <c r="I238" s="18">
        <v>29084.83</v>
      </c>
      <c r="J238" s="18">
        <v>22415.83</v>
      </c>
      <c r="K238" s="18"/>
      <c r="L238" s="19">
        <f t="shared" si="4"/>
        <v>219844.74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3913.41</v>
      </c>
      <c r="G239" s="18">
        <v>2558.54</v>
      </c>
      <c r="H239" s="18">
        <v>337092.15</v>
      </c>
      <c r="I239" s="18">
        <v>1103.22</v>
      </c>
      <c r="J239" s="18"/>
      <c r="K239" s="18">
        <v>4303.8900000000003</v>
      </c>
      <c r="L239" s="19">
        <f t="shared" si="4"/>
        <v>348971.21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432570.54</v>
      </c>
      <c r="G240" s="18">
        <v>202858.23999999999</v>
      </c>
      <c r="H240" s="18">
        <v>25630.44</v>
      </c>
      <c r="I240" s="18">
        <v>13421.95</v>
      </c>
      <c r="J240" s="18">
        <v>6218.32</v>
      </c>
      <c r="K240" s="18">
        <v>21330.78</v>
      </c>
      <c r="L240" s="19">
        <f t="shared" si="4"/>
        <v>702030.2699999999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344192.94</v>
      </c>
      <c r="G242" s="18">
        <v>158629.57</v>
      </c>
      <c r="H242" s="18">
        <v>171770.33</v>
      </c>
      <c r="I242" s="18">
        <v>227182.31</v>
      </c>
      <c r="J242" s="18">
        <v>10952.05</v>
      </c>
      <c r="K242" s="18"/>
      <c r="L242" s="19">
        <f t="shared" si="4"/>
        <v>912727.2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179385.34</v>
      </c>
      <c r="I243" s="18"/>
      <c r="J243" s="18"/>
      <c r="K243" s="18"/>
      <c r="L243" s="19">
        <f t="shared" si="4"/>
        <v>179385.34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>
        <v>0</v>
      </c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5532991.7100000009</v>
      </c>
      <c r="G246" s="41">
        <f t="shared" si="5"/>
        <v>2594066.98</v>
      </c>
      <c r="H246" s="41">
        <f t="shared" si="5"/>
        <v>1939466.39</v>
      </c>
      <c r="I246" s="41">
        <f t="shared" si="5"/>
        <v>469137.17999999993</v>
      </c>
      <c r="J246" s="41">
        <f t="shared" si="5"/>
        <v>165023.03999999998</v>
      </c>
      <c r="K246" s="41">
        <f t="shared" si="5"/>
        <v>62029.95</v>
      </c>
      <c r="L246" s="41">
        <f t="shared" si="5"/>
        <v>10762715.25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621788.57999999996</v>
      </c>
      <c r="I254" s="18"/>
      <c r="J254" s="18"/>
      <c r="K254" s="18"/>
      <c r="L254" s="19">
        <f t="shared" si="6"/>
        <v>621788.57999999996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621788.57999999996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621788.57999999996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11116438.330000002</v>
      </c>
      <c r="G256" s="41">
        <f t="shared" si="8"/>
        <v>5438883.4499999993</v>
      </c>
      <c r="H256" s="41">
        <f t="shared" si="8"/>
        <v>4691732.2299999995</v>
      </c>
      <c r="I256" s="41">
        <f t="shared" si="8"/>
        <v>807896.17999999993</v>
      </c>
      <c r="J256" s="41">
        <f t="shared" si="8"/>
        <v>264472.77999999997</v>
      </c>
      <c r="K256" s="41">
        <f t="shared" si="8"/>
        <v>70055.42</v>
      </c>
      <c r="L256" s="41">
        <f t="shared" si="8"/>
        <v>22389478.390000001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575000</v>
      </c>
      <c r="L259" s="19">
        <f>SUM(F259:K259)</f>
        <v>575000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91752.83</v>
      </c>
      <c r="L260" s="19">
        <f>SUM(F260:K260)</f>
        <v>91752.83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2037.64</v>
      </c>
      <c r="L262" s="19">
        <f>SUM(F262:K262)</f>
        <v>2037.64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200000</v>
      </c>
      <c r="L265" s="19">
        <f t="shared" si="9"/>
        <v>200000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868790.47</v>
      </c>
      <c r="L269" s="41">
        <f t="shared" si="9"/>
        <v>868790.47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11116438.330000002</v>
      </c>
      <c r="G270" s="42">
        <f t="shared" si="11"/>
        <v>5438883.4499999993</v>
      </c>
      <c r="H270" s="42">
        <f t="shared" si="11"/>
        <v>4691732.2299999995</v>
      </c>
      <c r="I270" s="42">
        <f t="shared" si="11"/>
        <v>807896.17999999993</v>
      </c>
      <c r="J270" s="42">
        <f t="shared" si="11"/>
        <v>264472.77999999997</v>
      </c>
      <c r="K270" s="42">
        <f t="shared" si="11"/>
        <v>938845.89</v>
      </c>
      <c r="L270" s="42">
        <f t="shared" si="11"/>
        <v>23258268.859999999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221480.72</v>
      </c>
      <c r="G275" s="18">
        <v>179622.32</v>
      </c>
      <c r="H275" s="18">
        <v>95699.98</v>
      </c>
      <c r="I275" s="18">
        <v>53176.83</v>
      </c>
      <c r="J275" s="18">
        <v>38888</v>
      </c>
      <c r="K275" s="18"/>
      <c r="L275" s="19">
        <f>SUM(F275:K275)</f>
        <v>588867.85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3125</v>
      </c>
      <c r="G276" s="18"/>
      <c r="H276" s="18">
        <v>600</v>
      </c>
      <c r="I276" s="18">
        <v>4604.3999999999996</v>
      </c>
      <c r="J276" s="18">
        <v>26288.65</v>
      </c>
      <c r="K276" s="18"/>
      <c r="L276" s="19">
        <f>SUM(F276:K276)</f>
        <v>34618.050000000003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5500</v>
      </c>
      <c r="G281" s="18">
        <v>834.69</v>
      </c>
      <c r="H281" s="18"/>
      <c r="I281" s="18"/>
      <c r="J281" s="18"/>
      <c r="K281" s="18"/>
      <c r="L281" s="19">
        <f t="shared" si="12"/>
        <v>6334.6900000000005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11120.49</v>
      </c>
      <c r="L282" s="19">
        <f t="shared" si="12"/>
        <v>11120.49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15400</v>
      </c>
      <c r="I286" s="18"/>
      <c r="J286" s="18"/>
      <c r="K286" s="18"/>
      <c r="L286" s="19">
        <f t="shared" si="12"/>
        <v>15400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230105.72</v>
      </c>
      <c r="G289" s="42">
        <f t="shared" si="13"/>
        <v>180457.01</v>
      </c>
      <c r="H289" s="42">
        <f t="shared" si="13"/>
        <v>111699.98</v>
      </c>
      <c r="I289" s="42">
        <f t="shared" si="13"/>
        <v>57781.23</v>
      </c>
      <c r="J289" s="42">
        <f t="shared" si="13"/>
        <v>65176.65</v>
      </c>
      <c r="K289" s="42">
        <f t="shared" si="13"/>
        <v>11120.49</v>
      </c>
      <c r="L289" s="41">
        <f t="shared" si="13"/>
        <v>656341.07999999996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65750</v>
      </c>
      <c r="G313" s="18">
        <v>4421.5</v>
      </c>
      <c r="H313" s="18">
        <v>0</v>
      </c>
      <c r="I313" s="18">
        <v>0</v>
      </c>
      <c r="J313" s="18">
        <v>0</v>
      </c>
      <c r="K313" s="18"/>
      <c r="L313" s="19">
        <f>SUM(F313:K313)</f>
        <v>70171.5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0</v>
      </c>
      <c r="G314" s="18">
        <v>50.59</v>
      </c>
      <c r="H314" s="18"/>
      <c r="I314" s="18">
        <v>70</v>
      </c>
      <c r="J314" s="18">
        <v>7516.53</v>
      </c>
      <c r="K314" s="18"/>
      <c r="L314" s="19">
        <f>SUM(F314:K314)</f>
        <v>7637.12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22999.58</v>
      </c>
      <c r="G316" s="18">
        <v>4344.24</v>
      </c>
      <c r="H316" s="18"/>
      <c r="I316" s="18">
        <v>680</v>
      </c>
      <c r="J316" s="18"/>
      <c r="K316" s="18"/>
      <c r="L316" s="19">
        <f>SUM(F316:K316)</f>
        <v>28023.82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>
        <v>0</v>
      </c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>
        <v>728.62</v>
      </c>
      <c r="L320" s="19">
        <f t="shared" si="16"/>
        <v>728.62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88749.58</v>
      </c>
      <c r="G327" s="42">
        <f t="shared" si="17"/>
        <v>8816.33</v>
      </c>
      <c r="H327" s="42">
        <f t="shared" si="17"/>
        <v>0</v>
      </c>
      <c r="I327" s="42">
        <f t="shared" si="17"/>
        <v>750</v>
      </c>
      <c r="J327" s="42">
        <f t="shared" si="17"/>
        <v>7516.53</v>
      </c>
      <c r="K327" s="42">
        <f t="shared" si="17"/>
        <v>728.62</v>
      </c>
      <c r="L327" s="41">
        <f t="shared" si="17"/>
        <v>106561.06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318855.3</v>
      </c>
      <c r="G337" s="41">
        <f t="shared" si="20"/>
        <v>189273.34</v>
      </c>
      <c r="H337" s="41">
        <f t="shared" si="20"/>
        <v>111699.98</v>
      </c>
      <c r="I337" s="41">
        <f t="shared" si="20"/>
        <v>58531.23</v>
      </c>
      <c r="J337" s="41">
        <f t="shared" si="20"/>
        <v>72693.180000000008</v>
      </c>
      <c r="K337" s="41">
        <f t="shared" si="20"/>
        <v>11849.11</v>
      </c>
      <c r="L337" s="41">
        <f t="shared" si="20"/>
        <v>762902.1399999999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318855.3</v>
      </c>
      <c r="G351" s="41">
        <f>G337</f>
        <v>189273.34</v>
      </c>
      <c r="H351" s="41">
        <f>H337</f>
        <v>111699.98</v>
      </c>
      <c r="I351" s="41">
        <f>I337</f>
        <v>58531.23</v>
      </c>
      <c r="J351" s="41">
        <f>J337</f>
        <v>72693.180000000008</v>
      </c>
      <c r="K351" s="47">
        <f>K337+K350</f>
        <v>11849.11</v>
      </c>
      <c r="L351" s="41">
        <f>L337+L350</f>
        <v>762902.1399999999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114021.89</v>
      </c>
      <c r="G357" s="18">
        <v>37536.589999999997</v>
      </c>
      <c r="H357" s="18">
        <v>7429.28</v>
      </c>
      <c r="I357" s="18">
        <v>139042.20000000001</v>
      </c>
      <c r="J357" s="18">
        <v>2508.87</v>
      </c>
      <c r="K357" s="18">
        <v>267.3</v>
      </c>
      <c r="L357" s="13">
        <f>SUM(F357:K357)</f>
        <v>300806.12999999995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139360.07999999999</v>
      </c>
      <c r="G359" s="18">
        <v>45878.06</v>
      </c>
      <c r="H359" s="18">
        <v>9080.2199999999993</v>
      </c>
      <c r="I359" s="18">
        <v>169940.48000000001</v>
      </c>
      <c r="J359" s="18">
        <v>3066.4</v>
      </c>
      <c r="K359" s="18">
        <v>326.7</v>
      </c>
      <c r="L359" s="19">
        <f>SUM(F359:K359)</f>
        <v>367651.94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253381.96999999997</v>
      </c>
      <c r="G361" s="47">
        <f t="shared" si="22"/>
        <v>83414.649999999994</v>
      </c>
      <c r="H361" s="47">
        <f t="shared" si="22"/>
        <v>16509.5</v>
      </c>
      <c r="I361" s="47">
        <f t="shared" si="22"/>
        <v>308982.68000000005</v>
      </c>
      <c r="J361" s="47">
        <f t="shared" si="22"/>
        <v>5575.27</v>
      </c>
      <c r="K361" s="47">
        <f t="shared" si="22"/>
        <v>594</v>
      </c>
      <c r="L361" s="47">
        <f t="shared" si="22"/>
        <v>668458.06999999995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131740.10999999999</v>
      </c>
      <c r="G366" s="18"/>
      <c r="H366" s="18">
        <v>161015.70000000001</v>
      </c>
      <c r="I366" s="56">
        <f>SUM(F366:H366)</f>
        <v>292755.81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7302.09</v>
      </c>
      <c r="G367" s="63"/>
      <c r="H367" s="63">
        <v>8924.7800000000007</v>
      </c>
      <c r="I367" s="56">
        <f>SUM(F367:H367)</f>
        <v>16226.87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139042.19999999998</v>
      </c>
      <c r="G368" s="47">
        <f>SUM(G366:G367)</f>
        <v>0</v>
      </c>
      <c r="H368" s="47">
        <f>SUM(H366:H367)</f>
        <v>169940.48000000001</v>
      </c>
      <c r="I368" s="47">
        <f>SUM(I366:I367)</f>
        <v>308982.68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>
        <v>378505.95</v>
      </c>
      <c r="I374" s="18"/>
      <c r="J374" s="18"/>
      <c r="K374" s="18"/>
      <c r="L374" s="13">
        <f t="shared" ref="L374:L380" si="23">SUM(F374:K374)</f>
        <v>378505.95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>
        <v>0</v>
      </c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378505.95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378505.95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75000</v>
      </c>
      <c r="H388" s="18">
        <v>82.7</v>
      </c>
      <c r="I388" s="18"/>
      <c r="J388" s="24" t="s">
        <v>289</v>
      </c>
      <c r="K388" s="24" t="s">
        <v>289</v>
      </c>
      <c r="L388" s="56">
        <f t="shared" si="25"/>
        <v>75082.7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75000</v>
      </c>
      <c r="H392" s="139">
        <f>SUM(H386:H391)</f>
        <v>82.7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75082.7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25000</v>
      </c>
      <c r="H396" s="18">
        <v>140.06</v>
      </c>
      <c r="I396" s="18"/>
      <c r="J396" s="24" t="s">
        <v>289</v>
      </c>
      <c r="K396" s="24" t="s">
        <v>289</v>
      </c>
      <c r="L396" s="56">
        <f t="shared" si="26"/>
        <v>25140.06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 t="s">
        <v>287</v>
      </c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v>100000</v>
      </c>
      <c r="H399" s="18">
        <v>91.06</v>
      </c>
      <c r="I399" s="18"/>
      <c r="J399" s="24" t="s">
        <v>289</v>
      </c>
      <c r="K399" s="24" t="s">
        <v>289</v>
      </c>
      <c r="L399" s="56">
        <f t="shared" si="26"/>
        <v>100091.06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125000</v>
      </c>
      <c r="H400" s="47">
        <f>SUM(H394:H399)</f>
        <v>231.12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125231.12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200000</v>
      </c>
      <c r="H407" s="47">
        <f>H392+H400+H406</f>
        <v>313.82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200313.82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>
        <v>11563</v>
      </c>
      <c r="L414" s="56">
        <f t="shared" si="27"/>
        <v>11563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11563</v>
      </c>
      <c r="L418" s="47">
        <f t="shared" si="28"/>
        <v>11563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>
        <v>25553.8</v>
      </c>
      <c r="L425" s="56">
        <f t="shared" si="29"/>
        <v>25553.8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25553.8</v>
      </c>
      <c r="L426" s="47">
        <f t="shared" si="30"/>
        <v>25553.8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37116.800000000003</v>
      </c>
      <c r="L433" s="47">
        <f t="shared" si="32"/>
        <v>37116.800000000003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209173.87</v>
      </c>
      <c r="G438" s="18">
        <v>542102.17000000004</v>
      </c>
      <c r="H438" s="18"/>
      <c r="I438" s="56">
        <f t="shared" ref="I438:I444" si="33">SUM(F438:H438)</f>
        <v>751276.04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209173.87</v>
      </c>
      <c r="G445" s="13">
        <f>SUM(G438:G444)</f>
        <v>542102.17000000004</v>
      </c>
      <c r="H445" s="13">
        <f>SUM(H438:H444)</f>
        <v>0</v>
      </c>
      <c r="I445" s="13">
        <f>SUM(I438:I444)</f>
        <v>751276.04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209173.87</v>
      </c>
      <c r="G458" s="18">
        <v>542102.17000000004</v>
      </c>
      <c r="H458" s="18"/>
      <c r="I458" s="56">
        <f t="shared" si="34"/>
        <v>751276.04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209173.87</v>
      </c>
      <c r="G459" s="83">
        <f>SUM(G453:G458)</f>
        <v>542102.17000000004</v>
      </c>
      <c r="H459" s="83">
        <f>SUM(H453:H458)</f>
        <v>0</v>
      </c>
      <c r="I459" s="83">
        <f>SUM(I453:I458)</f>
        <v>751276.04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209173.87</v>
      </c>
      <c r="G460" s="42">
        <f>G451+G459</f>
        <v>542102.17000000004</v>
      </c>
      <c r="H460" s="42">
        <f>H451+H459</f>
        <v>0</v>
      </c>
      <c r="I460" s="42">
        <f>I451+I459</f>
        <v>751276.04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483244.3</v>
      </c>
      <c r="G464" s="18">
        <v>161142.51</v>
      </c>
      <c r="H464" s="18">
        <v>0</v>
      </c>
      <c r="I464" s="18">
        <v>0</v>
      </c>
      <c r="J464" s="18">
        <v>588079.02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23143215.050000001</v>
      </c>
      <c r="G467" s="18">
        <v>693881.64</v>
      </c>
      <c r="H467" s="18">
        <v>762902.14</v>
      </c>
      <c r="I467" s="18">
        <v>510000</v>
      </c>
      <c r="J467" s="18">
        <v>200313.82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23143215.050000001</v>
      </c>
      <c r="G469" s="53">
        <f>SUM(G467:G468)</f>
        <v>693881.64</v>
      </c>
      <c r="H469" s="53">
        <f>SUM(H467:H468)</f>
        <v>762902.14</v>
      </c>
      <c r="I469" s="53">
        <f>SUM(I467:I468)</f>
        <v>510000</v>
      </c>
      <c r="J469" s="53">
        <f>SUM(J467:J468)</f>
        <v>200313.82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23258268.859999999</v>
      </c>
      <c r="G471" s="18">
        <v>668458.06999999995</v>
      </c>
      <c r="H471" s="18">
        <v>762902.14</v>
      </c>
      <c r="I471" s="18">
        <v>378505.95</v>
      </c>
      <c r="J471" s="18">
        <v>37116.800000000003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23258268.859999999</v>
      </c>
      <c r="G473" s="53">
        <f>SUM(G471:G472)</f>
        <v>668458.06999999995</v>
      </c>
      <c r="H473" s="53">
        <f>SUM(H471:H472)</f>
        <v>762902.14</v>
      </c>
      <c r="I473" s="53">
        <f>SUM(I471:I472)</f>
        <v>378505.95</v>
      </c>
      <c r="J473" s="53">
        <f>SUM(J471:J472)</f>
        <v>37116.800000000003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368190.49000000209</v>
      </c>
      <c r="G475" s="53">
        <f>(G464+G469)- G473</f>
        <v>186566.08000000007</v>
      </c>
      <c r="H475" s="53">
        <f>(H464+H469)- H473</f>
        <v>0</v>
      </c>
      <c r="I475" s="53">
        <f>(I464+I469)- I473</f>
        <v>131494.04999999999</v>
      </c>
      <c r="J475" s="53">
        <f>(J464+J469)- J473</f>
        <v>751276.04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>
        <v>15</v>
      </c>
      <c r="H489" s="154">
        <v>15</v>
      </c>
      <c r="I489" s="154">
        <v>15</v>
      </c>
      <c r="J489" s="154">
        <v>10</v>
      </c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 t="s">
        <v>912</v>
      </c>
      <c r="H490" s="155" t="s">
        <v>912</v>
      </c>
      <c r="I490" s="155" t="s">
        <v>914</v>
      </c>
      <c r="J490" s="155" t="s">
        <v>916</v>
      </c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 t="s">
        <v>913</v>
      </c>
      <c r="H491" s="155" t="s">
        <v>918</v>
      </c>
      <c r="I491" s="155" t="s">
        <v>915</v>
      </c>
      <c r="J491" s="155" t="s">
        <v>917</v>
      </c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8445000</v>
      </c>
      <c r="G492" s="18">
        <v>360109</v>
      </c>
      <c r="H492" s="18">
        <v>2459891</v>
      </c>
      <c r="I492" s="18">
        <v>3600000</v>
      </c>
      <c r="J492" s="18">
        <v>465700</v>
      </c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4.25</v>
      </c>
      <c r="G493" s="18">
        <v>4.68</v>
      </c>
      <c r="H493" s="18">
        <v>4.3</v>
      </c>
      <c r="I493" s="18">
        <v>1.65</v>
      </c>
      <c r="J493" s="18">
        <v>2.3428</v>
      </c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2120000</v>
      </c>
      <c r="G494" s="18">
        <v>306388.75</v>
      </c>
      <c r="H494" s="18">
        <v>2083762.98</v>
      </c>
      <c r="I494" s="18">
        <v>3600000</v>
      </c>
      <c r="J494" s="18">
        <v>465700</v>
      </c>
      <c r="K494" s="53">
        <f>SUM(F494:J494)</f>
        <v>8575851.7300000004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575000</v>
      </c>
      <c r="G496" s="18">
        <v>19608.37</v>
      </c>
      <c r="H496" s="18">
        <v>136309.60999999999</v>
      </c>
      <c r="I496" s="18">
        <v>240000</v>
      </c>
      <c r="J496" s="18"/>
      <c r="K496" s="53">
        <f t="shared" si="35"/>
        <v>970917.98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1545000</v>
      </c>
      <c r="G497" s="205">
        <v>286780.38</v>
      </c>
      <c r="H497" s="205">
        <v>1947453.37</v>
      </c>
      <c r="I497" s="205">
        <v>3360000</v>
      </c>
      <c r="J497" s="205">
        <v>465700</v>
      </c>
      <c r="K497" s="206">
        <f t="shared" si="35"/>
        <v>7604933.75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125382.39</v>
      </c>
      <c r="G498" s="18">
        <v>86640.6</v>
      </c>
      <c r="H498" s="18">
        <v>537572.28</v>
      </c>
      <c r="I498" s="18">
        <v>415800</v>
      </c>
      <c r="J498" s="18">
        <v>108260.25</v>
      </c>
      <c r="K498" s="53">
        <f t="shared" si="35"/>
        <v>1273655.52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1670382.39</v>
      </c>
      <c r="G499" s="42">
        <f>SUM(G497:G498)</f>
        <v>373420.98</v>
      </c>
      <c r="H499" s="42">
        <f>SUM(H497:H498)</f>
        <v>2485025.6500000004</v>
      </c>
      <c r="I499" s="42">
        <f>SUM(I497:I498)</f>
        <v>3775800</v>
      </c>
      <c r="J499" s="42">
        <f>SUM(J497:J498)</f>
        <v>573960.25</v>
      </c>
      <c r="K499" s="42">
        <f t="shared" si="35"/>
        <v>8878589.2699999996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575000</v>
      </c>
      <c r="G500" s="205">
        <v>20526.04</v>
      </c>
      <c r="H500" s="205">
        <v>142170.93</v>
      </c>
      <c r="I500" s="205">
        <v>240000</v>
      </c>
      <c r="J500" s="205">
        <v>45700</v>
      </c>
      <c r="K500" s="206">
        <f t="shared" si="35"/>
        <v>1023396.97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64956.63</v>
      </c>
      <c r="G501" s="18">
        <v>13421.32</v>
      </c>
      <c r="H501" s="18">
        <v>83740.490000000005</v>
      </c>
      <c r="I501" s="18">
        <v>55440</v>
      </c>
      <c r="J501" s="18">
        <v>20660.25</v>
      </c>
      <c r="K501" s="53">
        <f t="shared" si="35"/>
        <v>238218.69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639956.63</v>
      </c>
      <c r="G502" s="42">
        <f>SUM(G500:G501)</f>
        <v>33947.360000000001</v>
      </c>
      <c r="H502" s="42">
        <f>SUM(H500:H501)</f>
        <v>225911.41999999998</v>
      </c>
      <c r="I502" s="42">
        <f>SUM(I500:I501)</f>
        <v>295440</v>
      </c>
      <c r="J502" s="42">
        <f>SUM(J500:J501)</f>
        <v>66360.25</v>
      </c>
      <c r="K502" s="42">
        <f t="shared" si="35"/>
        <v>1261615.6599999999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75756.23</v>
      </c>
      <c r="G506" s="144">
        <v>38506.21</v>
      </c>
      <c r="H506" s="144"/>
      <c r="I506" s="144">
        <v>114262.44</v>
      </c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1203851.7</v>
      </c>
      <c r="G520" s="18">
        <v>605845.24</v>
      </c>
      <c r="H520" s="18">
        <v>721304.03</v>
      </c>
      <c r="I520" s="18">
        <v>15365</v>
      </c>
      <c r="J520" s="18">
        <v>32525.64</v>
      </c>
      <c r="K520" s="18">
        <v>719</v>
      </c>
      <c r="L520" s="88">
        <f>SUM(F520:K520)</f>
        <v>2579610.61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830561.03</v>
      </c>
      <c r="G522" s="18">
        <v>383831.81</v>
      </c>
      <c r="H522" s="18">
        <v>545101.71</v>
      </c>
      <c r="I522" s="18">
        <v>12293.77</v>
      </c>
      <c r="J522" s="18">
        <v>14954.04</v>
      </c>
      <c r="K522" s="18">
        <v>3698.29</v>
      </c>
      <c r="L522" s="88">
        <f>SUM(F522:K522)</f>
        <v>1790440.6500000001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2034412.73</v>
      </c>
      <c r="G523" s="108">
        <f t="shared" ref="G523:L523" si="36">SUM(G520:G522)</f>
        <v>989677.05</v>
      </c>
      <c r="H523" s="108">
        <f t="shared" si="36"/>
        <v>1266405.74</v>
      </c>
      <c r="I523" s="108">
        <f t="shared" si="36"/>
        <v>27658.77</v>
      </c>
      <c r="J523" s="108">
        <f t="shared" si="36"/>
        <v>47479.68</v>
      </c>
      <c r="K523" s="108">
        <f t="shared" si="36"/>
        <v>4417.29</v>
      </c>
      <c r="L523" s="89">
        <f t="shared" si="36"/>
        <v>4370051.26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434558.45</v>
      </c>
      <c r="I525" s="18"/>
      <c r="J525" s="18"/>
      <c r="K525" s="18"/>
      <c r="L525" s="88">
        <f>SUM(F525:K525)</f>
        <v>434558.45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354936.89</v>
      </c>
      <c r="I527" s="18"/>
      <c r="J527" s="18"/>
      <c r="K527" s="18"/>
      <c r="L527" s="88">
        <f>SUM(F527:K527)</f>
        <v>354936.89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789495.34000000008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789495.34000000008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0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140</v>
      </c>
      <c r="I535" s="18"/>
      <c r="J535" s="18"/>
      <c r="K535" s="18"/>
      <c r="L535" s="88">
        <f>SUM(F535:K535)</f>
        <v>140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395.58</v>
      </c>
      <c r="I537" s="18"/>
      <c r="J537" s="18"/>
      <c r="K537" s="18"/>
      <c r="L537" s="88">
        <f>SUM(F537:K537)</f>
        <v>395.58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535.57999999999993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535.57999999999993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210046.29</v>
      </c>
      <c r="I540" s="18"/>
      <c r="J540" s="18"/>
      <c r="K540" s="18"/>
      <c r="L540" s="88">
        <f>SUM(F540:K540)</f>
        <v>210046.29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89605.96</v>
      </c>
      <c r="I542" s="18"/>
      <c r="J542" s="18"/>
      <c r="K542" s="18"/>
      <c r="L542" s="88">
        <f>SUM(F542:K542)</f>
        <v>89605.96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299652.25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299652.25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2034412.73</v>
      </c>
      <c r="G544" s="89">
        <f t="shared" ref="G544:L544" si="41">G523+G528+G533+G538+G543</f>
        <v>989677.05</v>
      </c>
      <c r="H544" s="89">
        <f t="shared" si="41"/>
        <v>2356088.91</v>
      </c>
      <c r="I544" s="89">
        <f t="shared" si="41"/>
        <v>27658.77</v>
      </c>
      <c r="J544" s="89">
        <f t="shared" si="41"/>
        <v>47479.68</v>
      </c>
      <c r="K544" s="89">
        <f t="shared" si="41"/>
        <v>4417.29</v>
      </c>
      <c r="L544" s="89">
        <f t="shared" si="41"/>
        <v>5459734.4299999997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2579610.61</v>
      </c>
      <c r="G548" s="87">
        <f>L525</f>
        <v>434558.45</v>
      </c>
      <c r="H548" s="87">
        <f>L530</f>
        <v>0</v>
      </c>
      <c r="I548" s="87">
        <f>L535</f>
        <v>140</v>
      </c>
      <c r="J548" s="87">
        <f>L540</f>
        <v>210046.29</v>
      </c>
      <c r="K548" s="87">
        <f>SUM(F548:J548)</f>
        <v>3224355.35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1790440.6500000001</v>
      </c>
      <c r="G550" s="87">
        <f>L527</f>
        <v>354936.89</v>
      </c>
      <c r="H550" s="87">
        <f>L532</f>
        <v>0</v>
      </c>
      <c r="I550" s="87">
        <f>L537</f>
        <v>395.58</v>
      </c>
      <c r="J550" s="87">
        <f>L542</f>
        <v>89605.96</v>
      </c>
      <c r="K550" s="87">
        <f>SUM(F550:J550)</f>
        <v>2235379.08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4370051.26</v>
      </c>
      <c r="G551" s="89">
        <f t="shared" si="42"/>
        <v>789495.34000000008</v>
      </c>
      <c r="H551" s="89">
        <f t="shared" si="42"/>
        <v>0</v>
      </c>
      <c r="I551" s="89">
        <f t="shared" si="42"/>
        <v>535.57999999999993</v>
      </c>
      <c r="J551" s="89">
        <f t="shared" si="42"/>
        <v>299652.25</v>
      </c>
      <c r="K551" s="89">
        <f t="shared" si="42"/>
        <v>5459734.4299999997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>
        <v>6905.3</v>
      </c>
      <c r="I561" s="18"/>
      <c r="J561" s="18"/>
      <c r="K561" s="18"/>
      <c r="L561" s="88">
        <f>SUM(F561:K561)</f>
        <v>6905.3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15447.45</v>
      </c>
      <c r="G563" s="18">
        <v>7151.4</v>
      </c>
      <c r="H563" s="18">
        <v>2254.71</v>
      </c>
      <c r="I563" s="18"/>
      <c r="J563" s="18"/>
      <c r="K563" s="18"/>
      <c r="L563" s="88">
        <f>SUM(F563:K563)</f>
        <v>24853.559999999998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15447.45</v>
      </c>
      <c r="G564" s="89">
        <f t="shared" si="44"/>
        <v>7151.4</v>
      </c>
      <c r="H564" s="89">
        <f t="shared" si="44"/>
        <v>9160.01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31758.859999999997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15447.45</v>
      </c>
      <c r="G570" s="89">
        <f t="shared" ref="G570:L570" si="46">G559+G564+G569</f>
        <v>7151.4</v>
      </c>
      <c r="H570" s="89">
        <f t="shared" si="46"/>
        <v>9160.01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31758.859999999997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80175</v>
      </c>
      <c r="I574" s="87">
        <f>SUM(F574:H574)</f>
        <v>80175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486307.21</v>
      </c>
      <c r="G578" s="18"/>
      <c r="H578" s="18">
        <v>361995.11</v>
      </c>
      <c r="I578" s="87">
        <f t="shared" si="47"/>
        <v>848302.32000000007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233720.16</v>
      </c>
      <c r="G579" s="18"/>
      <c r="H579" s="18">
        <v>107313.69</v>
      </c>
      <c r="I579" s="87">
        <f t="shared" si="47"/>
        <v>341033.85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>
        <v>70800.039999999994</v>
      </c>
      <c r="I582" s="87">
        <f t="shared" si="47"/>
        <v>70800.039999999994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106551.24</v>
      </c>
      <c r="I583" s="87">
        <f t="shared" si="47"/>
        <v>106551.24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255993</v>
      </c>
      <c r="I590" s="18"/>
      <c r="J590" s="18" t="s">
        <v>287</v>
      </c>
      <c r="K590" s="104">
        <f t="shared" ref="K590:K596" si="48">SUM(H590:J590)</f>
        <v>255993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210046.29</v>
      </c>
      <c r="I591" s="18"/>
      <c r="J591" s="18">
        <v>89605.96</v>
      </c>
      <c r="K591" s="104">
        <f t="shared" si="48"/>
        <v>299652.25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50704.08</v>
      </c>
      <c r="K592" s="104">
        <f t="shared" si="48"/>
        <v>50704.08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3207.48</v>
      </c>
      <c r="I593" s="18"/>
      <c r="J593" s="18">
        <v>39075.300000000003</v>
      </c>
      <c r="K593" s="104">
        <f t="shared" si="48"/>
        <v>42282.780000000006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431.2</v>
      </c>
      <c r="I594" s="18"/>
      <c r="J594" s="18"/>
      <c r="K594" s="104">
        <f t="shared" si="48"/>
        <v>431.2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469677.97000000003</v>
      </c>
      <c r="I597" s="108">
        <f>SUM(I590:I596)</f>
        <v>0</v>
      </c>
      <c r="J597" s="108">
        <f>SUM(J590:J596)</f>
        <v>179385.34000000003</v>
      </c>
      <c r="K597" s="108">
        <f>SUM(K590:K596)</f>
        <v>649063.30999999994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164626.39000000001</v>
      </c>
      <c r="I603" s="18"/>
      <c r="J603" s="18">
        <v>172539.57</v>
      </c>
      <c r="K603" s="104">
        <f>SUM(H603:J603)</f>
        <v>337165.96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164626.39000000001</v>
      </c>
      <c r="I604" s="108">
        <f>SUM(I601:I603)</f>
        <v>0</v>
      </c>
      <c r="J604" s="108">
        <f>SUM(J601:J603)</f>
        <v>172539.57</v>
      </c>
      <c r="K604" s="108">
        <f>SUM(K601:K603)</f>
        <v>337165.96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3750</v>
      </c>
      <c r="G612" s="18">
        <v>577.5</v>
      </c>
      <c r="H612" s="18"/>
      <c r="I612" s="18"/>
      <c r="J612" s="18"/>
      <c r="K612" s="18"/>
      <c r="L612" s="88">
        <f>SUM(F612:K612)</f>
        <v>4327.5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3750</v>
      </c>
      <c r="G613" s="108">
        <f t="shared" si="49"/>
        <v>577.5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4327.5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1228960.53</v>
      </c>
      <c r="H616" s="109">
        <f>SUM(F51)</f>
        <v>1228960.53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339272.57</v>
      </c>
      <c r="H617" s="109">
        <f>SUM(G51)</f>
        <v>339272.56999999995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150827.85999999999</v>
      </c>
      <c r="H618" s="109">
        <f>SUM(H51)</f>
        <v>150827.85999999999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131494.04999999999</v>
      </c>
      <c r="H619" s="109">
        <f>SUM(I51)</f>
        <v>131494.04999999999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751276.04</v>
      </c>
      <c r="H620" s="109">
        <f>SUM(J51)</f>
        <v>751276.04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368190.49</v>
      </c>
      <c r="H621" s="109">
        <f>F475</f>
        <v>368190.49000000209</v>
      </c>
      <c r="I621" s="121" t="s">
        <v>101</v>
      </c>
      <c r="J621" s="109">
        <f t="shared" ref="J621:J654" si="50">G621-H621</f>
        <v>-2.0954757928848267E-9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186566.08</v>
      </c>
      <c r="H622" s="109">
        <f>G475</f>
        <v>186566.08000000007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131494.04999999999</v>
      </c>
      <c r="H624" s="109">
        <f>I475</f>
        <v>131494.04999999999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751276.04</v>
      </c>
      <c r="H625" s="109">
        <f>J475</f>
        <v>751276.04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23143215.050000001</v>
      </c>
      <c r="H626" s="104">
        <f>SUM(F467)</f>
        <v>23143215.050000001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693881.64</v>
      </c>
      <c r="H627" s="104">
        <f>SUM(G467)</f>
        <v>693881.64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762902.1399999999</v>
      </c>
      <c r="H628" s="104">
        <f>SUM(H467)</f>
        <v>762902.14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510000</v>
      </c>
      <c r="H629" s="104">
        <f>SUM(I467)</f>
        <v>510000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200313.82</v>
      </c>
      <c r="H630" s="104">
        <f>SUM(J467)</f>
        <v>200313.82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23258268.859999999</v>
      </c>
      <c r="H631" s="104">
        <f>SUM(F471)</f>
        <v>23258268.859999999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762902.1399999999</v>
      </c>
      <c r="H632" s="104">
        <f>SUM(H471)</f>
        <v>762902.14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308982.68000000005</v>
      </c>
      <c r="H633" s="104">
        <f>I368</f>
        <v>308982.68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668458.06999999995</v>
      </c>
      <c r="H634" s="104">
        <f>SUM(G471)</f>
        <v>668458.06999999995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378505.95</v>
      </c>
      <c r="H635" s="104">
        <f>SUM(I471)</f>
        <v>378505.95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200313.82</v>
      </c>
      <c r="H636" s="164">
        <f>SUM(J467)</f>
        <v>200313.82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37116.800000000003</v>
      </c>
      <c r="H637" s="164">
        <f>SUM(J471)</f>
        <v>37116.800000000003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209173.87</v>
      </c>
      <c r="H638" s="104">
        <f>SUM(F460)</f>
        <v>209173.87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542102.17000000004</v>
      </c>
      <c r="H639" s="104">
        <f>SUM(G460)</f>
        <v>542102.17000000004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751276.04</v>
      </c>
      <c r="H641" s="104">
        <f>SUM(I460)</f>
        <v>751276.04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313.82</v>
      </c>
      <c r="H643" s="104">
        <f>H407</f>
        <v>313.82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200000</v>
      </c>
      <c r="H644" s="104">
        <f>G407</f>
        <v>200000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200313.82</v>
      </c>
      <c r="H645" s="104">
        <f>L407</f>
        <v>200313.82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649063.30999999994</v>
      </c>
      <c r="H646" s="104">
        <f>L207+L225+L243</f>
        <v>649063.30999999994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337165.96</v>
      </c>
      <c r="H647" s="104">
        <f>(J256+J337)-(J254+J335)</f>
        <v>337165.95999999996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469677.97</v>
      </c>
      <c r="H648" s="104">
        <f>H597</f>
        <v>469677.97000000003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179385.34</v>
      </c>
      <c r="H650" s="104">
        <f>J597</f>
        <v>179385.34000000003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2037.64</v>
      </c>
      <c r="H651" s="104">
        <f>K262+K344</f>
        <v>2037.64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200000</v>
      </c>
      <c r="H654" s="104">
        <f>K265+K346</f>
        <v>200000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11962121.770000003</v>
      </c>
      <c r="G659" s="19">
        <f>(L228+L308+L358)</f>
        <v>0</v>
      </c>
      <c r="H659" s="19">
        <f>(L246+L327+L359)</f>
        <v>11236928.25</v>
      </c>
      <c r="I659" s="19">
        <f>SUM(F659:H659)</f>
        <v>23199050.020000003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196759.84851883721</v>
      </c>
      <c r="G660" s="19">
        <f>(L358/IF(SUM(L357:L359)=0,1,SUM(L357:L359))*(SUM(G96:G109)))</f>
        <v>0</v>
      </c>
      <c r="H660" s="19">
        <f>(L359/IF(SUM(L357:L359)=0,1,SUM(L357:L359))*(SUM(G96:G109)))</f>
        <v>240484.26148116277</v>
      </c>
      <c r="I660" s="19">
        <f>SUM(F660:H660)</f>
        <v>437244.11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485077.97</v>
      </c>
      <c r="G661" s="19">
        <f>(L225+L305)-(J225+J305)</f>
        <v>0</v>
      </c>
      <c r="H661" s="19">
        <f>(L243+L324)-(J243+J324)</f>
        <v>179385.34</v>
      </c>
      <c r="I661" s="19">
        <f>SUM(F661:H661)</f>
        <v>664463.30999999994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884653.76</v>
      </c>
      <c r="G662" s="200">
        <f>SUM(G574:G586)+SUM(I601:I603)+L611</f>
        <v>0</v>
      </c>
      <c r="H662" s="200">
        <f>SUM(H574:H586)+SUM(J601:J603)+L612</f>
        <v>903702.15000000014</v>
      </c>
      <c r="I662" s="19">
        <f>SUM(F662:H662)</f>
        <v>1788355.9100000001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10395630.191481166</v>
      </c>
      <c r="G663" s="19">
        <f>G659-SUM(G660:G662)</f>
        <v>0</v>
      </c>
      <c r="H663" s="19">
        <f>H659-SUM(H660:H662)</f>
        <v>9913356.4985188376</v>
      </c>
      <c r="I663" s="19">
        <f>I659-SUM(I660:I662)</f>
        <v>20308986.690000005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765.45</v>
      </c>
      <c r="G664" s="249"/>
      <c r="H664" s="249">
        <f>878.88-17.47</f>
        <v>861.41</v>
      </c>
      <c r="I664" s="19">
        <f>SUM(F664:H664)</f>
        <v>1626.8600000000001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13581.07</v>
      </c>
      <c r="G666" s="19" t="e">
        <f>ROUND(G663/G664,2)</f>
        <v>#DIV/0!</v>
      </c>
      <c r="H666" s="19">
        <f>ROUND(H663/H664,2)</f>
        <v>11508.29</v>
      </c>
      <c r="I666" s="19">
        <f>ROUND(I663/I664,2)</f>
        <v>12483.55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-22.8</v>
      </c>
      <c r="I669" s="19">
        <f>SUM(F669:H669)</f>
        <v>-22.8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13581.07</v>
      </c>
      <c r="G671" s="19" t="e">
        <f>ROUND((G663+G668)/(G664+G669),2)</f>
        <v>#DIV/0!</v>
      </c>
      <c r="H671" s="19">
        <f>ROUND((H663+H668)/(H664+H669),2)</f>
        <v>11821.18</v>
      </c>
      <c r="I671" s="19">
        <f>ROUND((I663+I668)/(I664+I669),2)</f>
        <v>12660.99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0" workbookViewId="0">
      <selection activeCell="F46" sqref="F4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PEMBROKE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6034937.8999999994</v>
      </c>
      <c r="C9" s="230">
        <f>'DOE25'!G196+'DOE25'!G214+'DOE25'!G232+'DOE25'!G275+'DOE25'!G294+'DOE25'!G313</f>
        <v>2972133.48</v>
      </c>
    </row>
    <row r="10" spans="1:3" x14ac:dyDescent="0.2">
      <c r="A10" t="s">
        <v>779</v>
      </c>
      <c r="B10" s="241">
        <v>5592126.1699999999</v>
      </c>
      <c r="C10" s="241">
        <v>2755167.74</v>
      </c>
    </row>
    <row r="11" spans="1:3" x14ac:dyDescent="0.2">
      <c r="A11" t="s">
        <v>780</v>
      </c>
      <c r="B11" s="241">
        <v>105240.84</v>
      </c>
      <c r="C11" s="241">
        <v>50526.27</v>
      </c>
    </row>
    <row r="12" spans="1:3" x14ac:dyDescent="0.2">
      <c r="A12" t="s">
        <v>781</v>
      </c>
      <c r="B12" s="241">
        <v>337570.89</v>
      </c>
      <c r="C12" s="241">
        <v>166439.47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6034937.8999999994</v>
      </c>
      <c r="C13" s="232">
        <f>SUM(C10:C12)</f>
        <v>2972133.4800000004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2048323.56</v>
      </c>
      <c r="C18" s="230">
        <f>'DOE25'!G197+'DOE25'!G215+'DOE25'!G233+'DOE25'!G276+'DOE25'!G295+'DOE25'!G314</f>
        <v>996695.97</v>
      </c>
    </row>
    <row r="19" spans="1:3" x14ac:dyDescent="0.2">
      <c r="A19" t="s">
        <v>779</v>
      </c>
      <c r="B19" s="241">
        <v>1001028.47</v>
      </c>
      <c r="C19" s="241">
        <v>487384.33</v>
      </c>
    </row>
    <row r="20" spans="1:3" x14ac:dyDescent="0.2">
      <c r="A20" t="s">
        <v>780</v>
      </c>
      <c r="B20" s="241">
        <v>891308.52</v>
      </c>
      <c r="C20" s="241">
        <v>433562.75</v>
      </c>
    </row>
    <row r="21" spans="1:3" x14ac:dyDescent="0.2">
      <c r="A21" t="s">
        <v>781</v>
      </c>
      <c r="B21" s="241">
        <v>155986.57</v>
      </c>
      <c r="C21" s="241">
        <v>75748.89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2048323.56</v>
      </c>
      <c r="C22" s="232">
        <f>SUM(C19:C21)</f>
        <v>996695.97000000009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588300.65</v>
      </c>
      <c r="C27" s="235">
        <f>'DOE25'!G198+'DOE25'!G216+'DOE25'!G234+'DOE25'!G277+'DOE25'!G296+'DOE25'!G315</f>
        <v>271205.40000000002</v>
      </c>
    </row>
    <row r="28" spans="1:3" x14ac:dyDescent="0.2">
      <c r="A28" t="s">
        <v>779</v>
      </c>
      <c r="B28" s="241">
        <v>459377.55</v>
      </c>
      <c r="C28" s="241">
        <v>211811.42</v>
      </c>
    </row>
    <row r="29" spans="1:3" x14ac:dyDescent="0.2">
      <c r="A29" t="s">
        <v>780</v>
      </c>
      <c r="B29" s="241" t="s">
        <v>287</v>
      </c>
      <c r="C29" s="241" t="s">
        <v>287</v>
      </c>
    </row>
    <row r="30" spans="1:3" x14ac:dyDescent="0.2">
      <c r="A30" t="s">
        <v>781</v>
      </c>
      <c r="B30" s="241">
        <v>128923.1</v>
      </c>
      <c r="C30" s="241">
        <v>59393.98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588300.65</v>
      </c>
      <c r="C31" s="232">
        <f>SUM(C28:C30)</f>
        <v>271205.40000000002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330559.08</v>
      </c>
      <c r="C36" s="236">
        <f>'DOE25'!G199+'DOE25'!G217+'DOE25'!G235+'DOE25'!G278+'DOE25'!G297+'DOE25'!G316</f>
        <v>149644.66</v>
      </c>
    </row>
    <row r="37" spans="1:3" x14ac:dyDescent="0.2">
      <c r="A37" t="s">
        <v>779</v>
      </c>
      <c r="B37" s="241">
        <v>262467.08</v>
      </c>
      <c r="C37" s="241">
        <v>118817.86</v>
      </c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>
        <v>68092</v>
      </c>
      <c r="C39" s="241">
        <v>30826.799999999999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330559.08</v>
      </c>
      <c r="C40" s="232">
        <f>SUM(C37:C39)</f>
        <v>149644.66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PEMBROKE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15069802.960000001</v>
      </c>
      <c r="D5" s="20">
        <f>SUM('DOE25'!L196:L199)+SUM('DOE25'!L214:L217)+SUM('DOE25'!L232:L235)-F5-G5</f>
        <v>14818328.240000002</v>
      </c>
      <c r="E5" s="244"/>
      <c r="F5" s="256">
        <f>SUM('DOE25'!J196:J199)+SUM('DOE25'!J214:J217)+SUM('DOE25'!J232:J235)</f>
        <v>216315.44</v>
      </c>
      <c r="G5" s="53">
        <f>SUM('DOE25'!K196:K199)+SUM('DOE25'!K214:K217)+SUM('DOE25'!K232:K235)</f>
        <v>35159.279999999999</v>
      </c>
      <c r="H5" s="260"/>
    </row>
    <row r="6" spans="1:9" x14ac:dyDescent="0.2">
      <c r="A6" s="32">
        <v>2100</v>
      </c>
      <c r="B6" t="s">
        <v>801</v>
      </c>
      <c r="C6" s="246">
        <f t="shared" si="0"/>
        <v>1788186.4700000002</v>
      </c>
      <c r="D6" s="20">
        <f>'DOE25'!L201+'DOE25'!L219+'DOE25'!L237-F6-G6</f>
        <v>1782913.4700000002</v>
      </c>
      <c r="E6" s="244"/>
      <c r="F6" s="256">
        <f>'DOE25'!J201+'DOE25'!J219+'DOE25'!J237</f>
        <v>3138</v>
      </c>
      <c r="G6" s="53">
        <f>'DOE25'!K201+'DOE25'!K219+'DOE25'!K237</f>
        <v>2135</v>
      </c>
      <c r="H6" s="260"/>
    </row>
    <row r="7" spans="1:9" x14ac:dyDescent="0.2">
      <c r="A7" s="32">
        <v>2200</v>
      </c>
      <c r="B7" t="s">
        <v>834</v>
      </c>
      <c r="C7" s="246">
        <f t="shared" si="0"/>
        <v>463583.88</v>
      </c>
      <c r="D7" s="20">
        <f>'DOE25'!L202+'DOE25'!L220+'DOE25'!L238-F7-G7</f>
        <v>439853.25</v>
      </c>
      <c r="E7" s="244"/>
      <c r="F7" s="256">
        <f>'DOE25'!J202+'DOE25'!J220+'DOE25'!J238</f>
        <v>23730.63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429147.98</v>
      </c>
      <c r="D8" s="244"/>
      <c r="E8" s="20">
        <f>'DOE25'!L203+'DOE25'!L221+'DOE25'!L239-F8-G8-D9-D11</f>
        <v>420586.97</v>
      </c>
      <c r="F8" s="256">
        <f>'DOE25'!J203+'DOE25'!J221+'DOE25'!J239</f>
        <v>0</v>
      </c>
      <c r="G8" s="53">
        <f>'DOE25'!K203+'DOE25'!K221+'DOE25'!K239</f>
        <v>8561.01</v>
      </c>
      <c r="H8" s="260"/>
    </row>
    <row r="9" spans="1:9" x14ac:dyDescent="0.2">
      <c r="A9" s="32">
        <v>2310</v>
      </c>
      <c r="B9" t="s">
        <v>818</v>
      </c>
      <c r="C9" s="246">
        <f t="shared" si="0"/>
        <v>12593.82</v>
      </c>
      <c r="D9" s="245">
        <v>12593.82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7513</v>
      </c>
      <c r="D10" s="244"/>
      <c r="E10" s="245">
        <v>7513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196811.85</v>
      </c>
      <c r="D11" s="245">
        <v>196811.85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1491851.67</v>
      </c>
      <c r="D12" s="20">
        <f>'DOE25'!L204+'DOE25'!L222+'DOE25'!L240-F12-G12</f>
        <v>1457984.8800000001</v>
      </c>
      <c r="E12" s="244"/>
      <c r="F12" s="256">
        <f>'DOE25'!J204+'DOE25'!J222+'DOE25'!J240</f>
        <v>9666.66</v>
      </c>
      <c r="G12" s="53">
        <f>'DOE25'!K204+'DOE25'!K222+'DOE25'!K240</f>
        <v>24200.129999999997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1666647.8699999999</v>
      </c>
      <c r="D14" s="20">
        <f>'DOE25'!L206+'DOE25'!L224+'DOE25'!L242-F14-G14</f>
        <v>1655025.8199999998</v>
      </c>
      <c r="E14" s="244"/>
      <c r="F14" s="256">
        <f>'DOE25'!J206+'DOE25'!J224+'DOE25'!J242</f>
        <v>11622.05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649063.30999999994</v>
      </c>
      <c r="D15" s="20">
        <f>'DOE25'!L207+'DOE25'!L225+'DOE25'!L243-F15-G15</f>
        <v>649063.30999999994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621788.57999999996</v>
      </c>
      <c r="D22" s="244"/>
      <c r="E22" s="244"/>
      <c r="F22" s="256">
        <f>'DOE25'!L254+'DOE25'!L335</f>
        <v>621788.57999999996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666752.82999999996</v>
      </c>
      <c r="D25" s="244"/>
      <c r="E25" s="244"/>
      <c r="F25" s="259"/>
      <c r="G25" s="257"/>
      <c r="H25" s="258">
        <f>'DOE25'!L259+'DOE25'!L260+'DOE25'!L340+'DOE25'!L341</f>
        <v>666752.82999999996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375702.25999999995</v>
      </c>
      <c r="D29" s="20">
        <f>'DOE25'!L357+'DOE25'!L358+'DOE25'!L359-'DOE25'!I366-F29-G29</f>
        <v>369532.98999999993</v>
      </c>
      <c r="E29" s="244"/>
      <c r="F29" s="256">
        <f>'DOE25'!J357+'DOE25'!J358+'DOE25'!J359</f>
        <v>5575.27</v>
      </c>
      <c r="G29" s="53">
        <f>'DOE25'!K357+'DOE25'!K358+'DOE25'!K359</f>
        <v>594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762902.1399999999</v>
      </c>
      <c r="D31" s="20">
        <f>'DOE25'!L289+'DOE25'!L308+'DOE25'!L327+'DOE25'!L332+'DOE25'!L333+'DOE25'!L334-F31-G31</f>
        <v>678359.84999999986</v>
      </c>
      <c r="E31" s="244"/>
      <c r="F31" s="256">
        <f>'DOE25'!J289+'DOE25'!J308+'DOE25'!J327+'DOE25'!J332+'DOE25'!J333+'DOE25'!J334</f>
        <v>72693.180000000008</v>
      </c>
      <c r="G31" s="53">
        <f>'DOE25'!K289+'DOE25'!K308+'DOE25'!K327+'DOE25'!K332+'DOE25'!K333+'DOE25'!K334</f>
        <v>11849.11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22060467.48</v>
      </c>
      <c r="E33" s="247">
        <f>SUM(E5:E31)</f>
        <v>428099.97</v>
      </c>
      <c r="F33" s="247">
        <f>SUM(F5:F31)</f>
        <v>964529.81</v>
      </c>
      <c r="G33" s="247">
        <f>SUM(G5:G31)</f>
        <v>82498.53</v>
      </c>
      <c r="H33" s="247">
        <f>SUM(H5:H31)</f>
        <v>666752.82999999996</v>
      </c>
    </row>
    <row r="35" spans="2:8" ht="12" thickBot="1" x14ac:dyDescent="0.25">
      <c r="B35" s="254" t="s">
        <v>847</v>
      </c>
      <c r="D35" s="255">
        <f>E33</f>
        <v>428099.97</v>
      </c>
      <c r="E35" s="250"/>
    </row>
    <row r="36" spans="2:8" ht="12" thickTop="1" x14ac:dyDescent="0.2">
      <c r="B36" t="s">
        <v>815</v>
      </c>
      <c r="D36" s="20">
        <f>D33</f>
        <v>22060467.48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PEMBROKE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526044.4</v>
      </c>
      <c r="D8" s="95">
        <f>'DOE25'!G9</f>
        <v>284460.49</v>
      </c>
      <c r="E8" s="95">
        <f>'DOE25'!H9</f>
        <v>0</v>
      </c>
      <c r="F8" s="95">
        <f>'DOE25'!I9</f>
        <v>0</v>
      </c>
      <c r="G8" s="95">
        <f>'DOE25'!J9</f>
        <v>751276.04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142349.97</v>
      </c>
      <c r="D11" s="95">
        <f>'DOE25'!G12</f>
        <v>0</v>
      </c>
      <c r="E11" s="95">
        <f>'DOE25'!H12</f>
        <v>0</v>
      </c>
      <c r="F11" s="95">
        <f>'DOE25'!I12</f>
        <v>131494.04999999999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254001.41</v>
      </c>
      <c r="D12" s="95">
        <f>'DOE25'!G13</f>
        <v>39481.26</v>
      </c>
      <c r="E12" s="95">
        <f>'DOE25'!H13</f>
        <v>149090.85999999999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11220.52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306564.75</v>
      </c>
      <c r="D16" s="95">
        <f>'DOE25'!G17</f>
        <v>4110.3</v>
      </c>
      <c r="E16" s="95">
        <f>'DOE25'!H17</f>
        <v>1737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1228960.53</v>
      </c>
      <c r="D18" s="41">
        <f>SUM(D8:D17)</f>
        <v>339272.57</v>
      </c>
      <c r="E18" s="41">
        <f>SUM(E8:E17)</f>
        <v>150827.85999999999</v>
      </c>
      <c r="F18" s="41">
        <f>SUM(F8:F17)</f>
        <v>131494.04999999999</v>
      </c>
      <c r="G18" s="41">
        <f>SUM(G8:G17)</f>
        <v>751276.04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 t="str">
        <f>'DOE25'!F22</f>
        <v xml:space="preserve"> </v>
      </c>
      <c r="D21" s="95">
        <f>'DOE25'!G22</f>
        <v>150211.15</v>
      </c>
      <c r="E21" s="95">
        <f>'DOE25'!H22</f>
        <v>123632.87</v>
      </c>
      <c r="F21" s="95" t="str">
        <f>'DOE25'!I22</f>
        <v xml:space="preserve"> 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396427.64</v>
      </c>
      <c r="D22" s="95">
        <f>'DOE25'!G23</f>
        <v>2495.34</v>
      </c>
      <c r="E22" s="95">
        <f>'DOE25'!H23</f>
        <v>27132.99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114262.44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345871.76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4208.2</v>
      </c>
      <c r="D29" s="95">
        <f>'DOE25'!G30</f>
        <v>0</v>
      </c>
      <c r="E29" s="95">
        <f>'DOE25'!H30</f>
        <v>62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860770.04</v>
      </c>
      <c r="D31" s="41">
        <f>SUM(D21:D30)</f>
        <v>152706.49</v>
      </c>
      <c r="E31" s="41">
        <f>SUM(E21:E30)</f>
        <v>150827.85999999999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186566.08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131494.04999999999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175000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751276.04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193190.49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368190.49</v>
      </c>
      <c r="D49" s="41">
        <f>SUM(D34:D48)</f>
        <v>186566.08</v>
      </c>
      <c r="E49" s="41">
        <f>SUM(E34:E48)</f>
        <v>0</v>
      </c>
      <c r="F49" s="41">
        <f>SUM(F34:F48)</f>
        <v>131494.04999999999</v>
      </c>
      <c r="G49" s="41">
        <f>SUM(G34:G48)</f>
        <v>751276.04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1228960.53</v>
      </c>
      <c r="D50" s="41">
        <f>D49+D31</f>
        <v>339272.56999999995</v>
      </c>
      <c r="E50" s="41">
        <f>E49+E31</f>
        <v>150827.85999999999</v>
      </c>
      <c r="F50" s="41">
        <f>F49+F31</f>
        <v>131494.04999999999</v>
      </c>
      <c r="G50" s="41">
        <f>G49+G31</f>
        <v>751276.04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9576191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5194120.5500000007</v>
      </c>
      <c r="D56" s="24" t="s">
        <v>289</v>
      </c>
      <c r="E56" s="95">
        <f>'DOE25'!H78</f>
        <v>4327.5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8785.7000000000007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190.92</v>
      </c>
      <c r="D58" s="95">
        <f>'DOE25'!G95</f>
        <v>64.930000000000007</v>
      </c>
      <c r="E58" s="95">
        <f>'DOE25'!H95</f>
        <v>0</v>
      </c>
      <c r="F58" s="95">
        <f>'DOE25'!I95</f>
        <v>0</v>
      </c>
      <c r="G58" s="95">
        <f>'DOE25'!J95</f>
        <v>313.82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436466.62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56147.74</v>
      </c>
      <c r="D60" s="95">
        <f>SUM('DOE25'!G97:G109)</f>
        <v>777.49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5259244.9100000011</v>
      </c>
      <c r="D61" s="130">
        <f>SUM(D56:D60)</f>
        <v>437309.04</v>
      </c>
      <c r="E61" s="130">
        <f>SUM(E56:E60)</f>
        <v>4327.5</v>
      </c>
      <c r="F61" s="130">
        <f>SUM(F56:F60)</f>
        <v>0</v>
      </c>
      <c r="G61" s="130">
        <f>SUM(G56:G60)</f>
        <v>313.82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14835435.91</v>
      </c>
      <c r="D62" s="22">
        <f>D55+D61</f>
        <v>437309.04</v>
      </c>
      <c r="E62" s="22">
        <f>E55+E61</f>
        <v>4327.5</v>
      </c>
      <c r="F62" s="22">
        <f>F55+F61</f>
        <v>0</v>
      </c>
      <c r="G62" s="22">
        <f>G55+G61</f>
        <v>313.82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5521608.8899999997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1442997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4784.1099999999997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6969390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480540.81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563000.19999999995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10719.73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18940.599999999999</v>
      </c>
      <c r="D76" s="95">
        <f>SUM('DOE25'!G130:G134)</f>
        <v>6627.47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1073201.3400000001</v>
      </c>
      <c r="D77" s="130">
        <f>SUM(D71:D76)</f>
        <v>6627.47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8042591.3399999999</v>
      </c>
      <c r="D80" s="130">
        <f>SUM(D78:D79)+D77+D69</f>
        <v>6627.47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228071</v>
      </c>
      <c r="D87" s="95">
        <f>SUM('DOE25'!G152:G160)</f>
        <v>247907.49</v>
      </c>
      <c r="E87" s="95">
        <f>SUM('DOE25'!H152:H160)</f>
        <v>758574.6399999999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228071</v>
      </c>
      <c r="D90" s="131">
        <f>SUM(D84:D89)</f>
        <v>247907.49</v>
      </c>
      <c r="E90" s="131">
        <f>SUM(E84:E89)</f>
        <v>758574.6399999999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510000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2037.64</v>
      </c>
      <c r="E95" s="95">
        <f>'DOE25'!H178</f>
        <v>0</v>
      </c>
      <c r="F95" s="95">
        <f>'DOE25'!I178</f>
        <v>0</v>
      </c>
      <c r="G95" s="95">
        <f>'DOE25'!J178</f>
        <v>200000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11563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25553.8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37116.800000000003</v>
      </c>
      <c r="D102" s="86">
        <f>SUM(D92:D101)</f>
        <v>2037.64</v>
      </c>
      <c r="E102" s="86">
        <f>SUM(E92:E101)</f>
        <v>0</v>
      </c>
      <c r="F102" s="86">
        <f>SUM(F92:F101)</f>
        <v>510000</v>
      </c>
      <c r="G102" s="86">
        <f>SUM(G92:G101)</f>
        <v>200000</v>
      </c>
    </row>
    <row r="103" spans="1:7" ht="12.75" thickTop="1" thickBot="1" x14ac:dyDescent="0.25">
      <c r="A103" s="33" t="s">
        <v>765</v>
      </c>
      <c r="C103" s="86">
        <f>C62+C80+C90+C102</f>
        <v>23143215.050000001</v>
      </c>
      <c r="D103" s="86">
        <f>D62+D80+D90+D102</f>
        <v>693881.64</v>
      </c>
      <c r="E103" s="86">
        <f>E62+E80+E90+E102</f>
        <v>762902.1399999999</v>
      </c>
      <c r="F103" s="86">
        <f>F62+F80+F90+F102</f>
        <v>510000</v>
      </c>
      <c r="G103" s="86">
        <f>G62+G80+G102</f>
        <v>200313.82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9143037.040000001</v>
      </c>
      <c r="D108" s="24" t="s">
        <v>289</v>
      </c>
      <c r="E108" s="95">
        <f>('DOE25'!L275)+('DOE25'!L294)+('DOE25'!L313)</f>
        <v>659039.35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4348914.84</v>
      </c>
      <c r="D109" s="24" t="s">
        <v>289</v>
      </c>
      <c r="E109" s="95">
        <f>('DOE25'!L276)+('DOE25'!L295)+('DOE25'!L314)</f>
        <v>42255.170000000006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1009403.89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568447.18999999994</v>
      </c>
      <c r="D111" s="24" t="s">
        <v>289</v>
      </c>
      <c r="E111" s="95">
        <f>+('DOE25'!L278)+('DOE25'!L297)+('DOE25'!L316)</f>
        <v>28023.82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15069802.960000001</v>
      </c>
      <c r="D114" s="86">
        <f>SUM(D108:D113)</f>
        <v>0</v>
      </c>
      <c r="E114" s="86">
        <f>SUM(E108:E113)</f>
        <v>729318.34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1788186.4700000002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463583.88</v>
      </c>
      <c r="D118" s="24" t="s">
        <v>289</v>
      </c>
      <c r="E118" s="95">
        <f>+('DOE25'!L281)+('DOE25'!L300)+('DOE25'!L319)</f>
        <v>6334.6900000000005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638553.64999999991</v>
      </c>
      <c r="D119" s="24" t="s">
        <v>289</v>
      </c>
      <c r="E119" s="95">
        <f>+('DOE25'!L282)+('DOE25'!L301)+('DOE25'!L320)</f>
        <v>11849.11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1491851.67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1666647.8699999999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649063.30999999994</v>
      </c>
      <c r="D123" s="24" t="s">
        <v>289</v>
      </c>
      <c r="E123" s="95">
        <f>+('DOE25'!L286)+('DOE25'!L305)+('DOE25'!L324)</f>
        <v>15400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668458.06999999995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6697886.8499999996</v>
      </c>
      <c r="D127" s="86">
        <f>SUM(D117:D126)</f>
        <v>668458.06999999995</v>
      </c>
      <c r="E127" s="86">
        <f>SUM(E117:E126)</f>
        <v>33583.800000000003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621788.57999999996</v>
      </c>
      <c r="D129" s="24" t="s">
        <v>289</v>
      </c>
      <c r="E129" s="129">
        <f>'DOE25'!L335</f>
        <v>0</v>
      </c>
      <c r="F129" s="129">
        <f>SUM('DOE25'!L373:'DOE25'!L379)</f>
        <v>378505.95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575000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91752.83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37116.800000000003</v>
      </c>
    </row>
    <row r="134" spans="1:7" x14ac:dyDescent="0.2">
      <c r="A134" t="s">
        <v>233</v>
      </c>
      <c r="B134" s="32" t="s">
        <v>234</v>
      </c>
      <c r="C134" s="95">
        <f>'DOE25'!L262</f>
        <v>2037.64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75082.7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125231.12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-313.82000000000698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1490579.05</v>
      </c>
      <c r="D143" s="141">
        <f>SUM(D129:D142)</f>
        <v>0</v>
      </c>
      <c r="E143" s="141">
        <f>SUM(E129:E142)</f>
        <v>0</v>
      </c>
      <c r="F143" s="141">
        <f>SUM(F129:F142)</f>
        <v>378505.95</v>
      </c>
      <c r="G143" s="141">
        <f>SUM(G129:G142)</f>
        <v>37116.800000000003</v>
      </c>
    </row>
    <row r="144" spans="1:7" ht="12.75" thickTop="1" thickBot="1" x14ac:dyDescent="0.25">
      <c r="A144" s="33" t="s">
        <v>244</v>
      </c>
      <c r="C144" s="86">
        <f>(C114+C127+C143)</f>
        <v>23258268.860000003</v>
      </c>
      <c r="D144" s="86">
        <f>(D114+D127+D143)</f>
        <v>668458.06999999995</v>
      </c>
      <c r="E144" s="86">
        <f>(E114+E127+E143)</f>
        <v>762902.14</v>
      </c>
      <c r="F144" s="86">
        <f>(F114+F127+F143)</f>
        <v>378505.95</v>
      </c>
      <c r="G144" s="86">
        <f>(G114+G127+G143)</f>
        <v>37116.800000000003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15</v>
      </c>
      <c r="C150" s="153">
        <f>'DOE25'!G489</f>
        <v>15</v>
      </c>
      <c r="D150" s="153">
        <f>'DOE25'!H489</f>
        <v>15</v>
      </c>
      <c r="E150" s="153">
        <f>'DOE25'!I489</f>
        <v>15</v>
      </c>
      <c r="F150" s="153">
        <f>'DOE25'!J489</f>
        <v>10</v>
      </c>
      <c r="G150" s="24" t="s">
        <v>289</v>
      </c>
    </row>
    <row r="151" spans="1:9" x14ac:dyDescent="0.2">
      <c r="A151" s="136" t="s">
        <v>28</v>
      </c>
      <c r="B151" s="152" t="str">
        <f>'DOE25'!F490</f>
        <v>09/99</v>
      </c>
      <c r="C151" s="152" t="str">
        <f>'DOE25'!G490</f>
        <v>08/07</v>
      </c>
      <c r="D151" s="152" t="str">
        <f>'DOE25'!H490</f>
        <v>08/07</v>
      </c>
      <c r="E151" s="152" t="str">
        <f>'DOE25'!I490</f>
        <v>01/10</v>
      </c>
      <c r="F151" s="152" t="str">
        <f>'DOE25'!J490</f>
        <v>01/12</v>
      </c>
      <c r="G151" s="24" t="s">
        <v>289</v>
      </c>
    </row>
    <row r="152" spans="1:9" x14ac:dyDescent="0.2">
      <c r="A152" s="136" t="s">
        <v>29</v>
      </c>
      <c r="B152" s="152" t="str">
        <f>'DOE25'!F491</f>
        <v>09/15</v>
      </c>
      <c r="C152" s="152" t="str">
        <f>'DOE25'!G491</f>
        <v>11/22</v>
      </c>
      <c r="D152" s="152" t="str">
        <f>'DOE25'!H491</f>
        <v>01/23</v>
      </c>
      <c r="E152" s="152" t="str">
        <f>'DOE25'!I491</f>
        <v>07/25</v>
      </c>
      <c r="F152" s="152" t="str">
        <f>'DOE25'!J491</f>
        <v>01/22</v>
      </c>
      <c r="G152" s="24" t="s">
        <v>289</v>
      </c>
    </row>
    <row r="153" spans="1:9" x14ac:dyDescent="0.2">
      <c r="A153" s="136" t="s">
        <v>30</v>
      </c>
      <c r="B153" s="137">
        <f>'DOE25'!F492</f>
        <v>8445000</v>
      </c>
      <c r="C153" s="137">
        <f>'DOE25'!G492</f>
        <v>360109</v>
      </c>
      <c r="D153" s="137">
        <f>'DOE25'!H492</f>
        <v>2459891</v>
      </c>
      <c r="E153" s="137">
        <f>'DOE25'!I492</f>
        <v>3600000</v>
      </c>
      <c r="F153" s="137">
        <f>'DOE25'!J492</f>
        <v>465700</v>
      </c>
      <c r="G153" s="24" t="s">
        <v>289</v>
      </c>
    </row>
    <row r="154" spans="1:9" x14ac:dyDescent="0.2">
      <c r="A154" s="136" t="s">
        <v>31</v>
      </c>
      <c r="B154" s="137">
        <f>'DOE25'!F493</f>
        <v>4.25</v>
      </c>
      <c r="C154" s="137">
        <f>'DOE25'!G493</f>
        <v>4.68</v>
      </c>
      <c r="D154" s="137">
        <f>'DOE25'!H493</f>
        <v>4.3</v>
      </c>
      <c r="E154" s="137">
        <f>'DOE25'!I493</f>
        <v>1.65</v>
      </c>
      <c r="F154" s="137">
        <f>'DOE25'!J493</f>
        <v>2.3428</v>
      </c>
      <c r="G154" s="24" t="s">
        <v>289</v>
      </c>
    </row>
    <row r="155" spans="1:9" x14ac:dyDescent="0.2">
      <c r="A155" s="22" t="s">
        <v>32</v>
      </c>
      <c r="B155" s="137">
        <f>'DOE25'!F494</f>
        <v>2120000</v>
      </c>
      <c r="C155" s="137">
        <f>'DOE25'!G494</f>
        <v>306388.75</v>
      </c>
      <c r="D155" s="137">
        <f>'DOE25'!H494</f>
        <v>2083762.98</v>
      </c>
      <c r="E155" s="137">
        <f>'DOE25'!I494</f>
        <v>3600000</v>
      </c>
      <c r="F155" s="137">
        <f>'DOE25'!J494</f>
        <v>465700</v>
      </c>
      <c r="G155" s="138">
        <f>SUM(B155:F155)</f>
        <v>8575851.7300000004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575000</v>
      </c>
      <c r="C157" s="137">
        <f>'DOE25'!G496</f>
        <v>19608.37</v>
      </c>
      <c r="D157" s="137">
        <f>'DOE25'!H496</f>
        <v>136309.60999999999</v>
      </c>
      <c r="E157" s="137">
        <f>'DOE25'!I496</f>
        <v>240000</v>
      </c>
      <c r="F157" s="137">
        <f>'DOE25'!J496</f>
        <v>0</v>
      </c>
      <c r="G157" s="138">
        <f t="shared" si="0"/>
        <v>970917.98</v>
      </c>
    </row>
    <row r="158" spans="1:9" x14ac:dyDescent="0.2">
      <c r="A158" s="22" t="s">
        <v>35</v>
      </c>
      <c r="B158" s="137">
        <f>'DOE25'!F497</f>
        <v>1545000</v>
      </c>
      <c r="C158" s="137">
        <f>'DOE25'!G497</f>
        <v>286780.38</v>
      </c>
      <c r="D158" s="137">
        <f>'DOE25'!H497</f>
        <v>1947453.37</v>
      </c>
      <c r="E158" s="137">
        <f>'DOE25'!I497</f>
        <v>3360000</v>
      </c>
      <c r="F158" s="137">
        <f>'DOE25'!J497</f>
        <v>465700</v>
      </c>
      <c r="G158" s="138">
        <f t="shared" si="0"/>
        <v>7604933.75</v>
      </c>
    </row>
    <row r="159" spans="1:9" x14ac:dyDescent="0.2">
      <c r="A159" s="22" t="s">
        <v>36</v>
      </c>
      <c r="B159" s="137">
        <f>'DOE25'!F498</f>
        <v>125382.39</v>
      </c>
      <c r="C159" s="137">
        <f>'DOE25'!G498</f>
        <v>86640.6</v>
      </c>
      <c r="D159" s="137">
        <f>'DOE25'!H498</f>
        <v>537572.28</v>
      </c>
      <c r="E159" s="137">
        <f>'DOE25'!I498</f>
        <v>415800</v>
      </c>
      <c r="F159" s="137">
        <f>'DOE25'!J498</f>
        <v>108260.25</v>
      </c>
      <c r="G159" s="138">
        <f t="shared" si="0"/>
        <v>1273655.52</v>
      </c>
    </row>
    <row r="160" spans="1:9" x14ac:dyDescent="0.2">
      <c r="A160" s="22" t="s">
        <v>37</v>
      </c>
      <c r="B160" s="137">
        <f>'DOE25'!F499</f>
        <v>1670382.39</v>
      </c>
      <c r="C160" s="137">
        <f>'DOE25'!G499</f>
        <v>373420.98</v>
      </c>
      <c r="D160" s="137">
        <f>'DOE25'!H499</f>
        <v>2485025.6500000004</v>
      </c>
      <c r="E160" s="137">
        <f>'DOE25'!I499</f>
        <v>3775800</v>
      </c>
      <c r="F160" s="137">
        <f>'DOE25'!J499</f>
        <v>573960.25</v>
      </c>
      <c r="G160" s="138">
        <f t="shared" si="0"/>
        <v>8878589.2699999996</v>
      </c>
    </row>
    <row r="161" spans="1:7" x14ac:dyDescent="0.2">
      <c r="A161" s="22" t="s">
        <v>38</v>
      </c>
      <c r="B161" s="137">
        <f>'DOE25'!F500</f>
        <v>575000</v>
      </c>
      <c r="C161" s="137">
        <f>'DOE25'!G500</f>
        <v>20526.04</v>
      </c>
      <c r="D161" s="137">
        <f>'DOE25'!H500</f>
        <v>142170.93</v>
      </c>
      <c r="E161" s="137">
        <f>'DOE25'!I500</f>
        <v>240000</v>
      </c>
      <c r="F161" s="137">
        <f>'DOE25'!J500</f>
        <v>45700</v>
      </c>
      <c r="G161" s="138">
        <f t="shared" si="0"/>
        <v>1023396.97</v>
      </c>
    </row>
    <row r="162" spans="1:7" x14ac:dyDescent="0.2">
      <c r="A162" s="22" t="s">
        <v>39</v>
      </c>
      <c r="B162" s="137">
        <f>'DOE25'!F501</f>
        <v>64956.63</v>
      </c>
      <c r="C162" s="137">
        <f>'DOE25'!G501</f>
        <v>13421.32</v>
      </c>
      <c r="D162" s="137">
        <f>'DOE25'!H501</f>
        <v>83740.490000000005</v>
      </c>
      <c r="E162" s="137">
        <f>'DOE25'!I501</f>
        <v>55440</v>
      </c>
      <c r="F162" s="137">
        <f>'DOE25'!J501</f>
        <v>20660.25</v>
      </c>
      <c r="G162" s="138">
        <f t="shared" si="0"/>
        <v>238218.69</v>
      </c>
    </row>
    <row r="163" spans="1:7" x14ac:dyDescent="0.2">
      <c r="A163" s="22" t="s">
        <v>246</v>
      </c>
      <c r="B163" s="137">
        <f>'DOE25'!F502</f>
        <v>639956.63</v>
      </c>
      <c r="C163" s="137">
        <f>'DOE25'!G502</f>
        <v>33947.360000000001</v>
      </c>
      <c r="D163" s="137">
        <f>'DOE25'!H502</f>
        <v>225911.41999999998</v>
      </c>
      <c r="E163" s="137">
        <f>'DOE25'!I502</f>
        <v>295440</v>
      </c>
      <c r="F163" s="137">
        <f>'DOE25'!J502</f>
        <v>66360.25</v>
      </c>
      <c r="G163" s="138">
        <f t="shared" si="0"/>
        <v>1261615.6599999999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PEMBROKE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13581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11821</v>
      </c>
    </row>
    <row r="7" spans="1:4" x14ac:dyDescent="0.2">
      <c r="B7" t="s">
        <v>705</v>
      </c>
      <c r="C7" s="179">
        <f>IF('DOE25'!I664+'DOE25'!I669=0,0,ROUND('DOE25'!I671,0))</f>
        <v>12661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9802076</v>
      </c>
      <c r="D10" s="182">
        <f>ROUND((C10/$C$28)*100,1)</f>
        <v>42.9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4391170</v>
      </c>
      <c r="D11" s="182">
        <f>ROUND((C11/$C$28)*100,1)</f>
        <v>19.2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1009404</v>
      </c>
      <c r="D12" s="182">
        <f>ROUND((C12/$C$28)*100,1)</f>
        <v>4.4000000000000004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596471</v>
      </c>
      <c r="D13" s="182">
        <f>ROUND((C13/$C$28)*100,1)</f>
        <v>2.6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1788186</v>
      </c>
      <c r="D15" s="182">
        <f t="shared" ref="D15:D27" si="0">ROUND((C15/$C$28)*100,1)</f>
        <v>7.8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469919</v>
      </c>
      <c r="D16" s="182">
        <f t="shared" si="0"/>
        <v>2.1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650403</v>
      </c>
      <c r="D17" s="182">
        <f t="shared" si="0"/>
        <v>2.8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1491852</v>
      </c>
      <c r="D18" s="182">
        <f t="shared" si="0"/>
        <v>6.5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1666648</v>
      </c>
      <c r="D20" s="182">
        <f t="shared" si="0"/>
        <v>7.3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664463</v>
      </c>
      <c r="D21" s="182">
        <f t="shared" si="0"/>
        <v>2.9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91753</v>
      </c>
      <c r="D25" s="182">
        <f t="shared" si="0"/>
        <v>0.4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231213.89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22853558.890000001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1000295</v>
      </c>
    </row>
    <row r="30" spans="1:4" x14ac:dyDescent="0.2">
      <c r="B30" s="187" t="s">
        <v>729</v>
      </c>
      <c r="C30" s="180">
        <f>SUM(C28:C29)</f>
        <v>23853853.890000001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575000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9576191</v>
      </c>
      <c r="D35" s="182">
        <f t="shared" ref="D35:D40" si="1">ROUND((C35/$C$41)*100,1)</f>
        <v>39.700000000000003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5263951.16</v>
      </c>
      <c r="D36" s="182">
        <f t="shared" si="1"/>
        <v>21.8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6969390</v>
      </c>
      <c r="D37" s="182">
        <f t="shared" si="1"/>
        <v>28.9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1079829</v>
      </c>
      <c r="D38" s="182">
        <f t="shared" si="1"/>
        <v>4.5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1234553</v>
      </c>
      <c r="D39" s="182">
        <f t="shared" si="1"/>
        <v>5.0999999999999996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24123914.16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510000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8" sqref="C8:M8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90" t="str">
        <f>'DOE25'!A2</f>
        <v>PEMBROKE SCHOOL DISTRICT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>
        <v>25</v>
      </c>
      <c r="B4" s="220"/>
      <c r="C4" s="281" t="s">
        <v>919</v>
      </c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 t="s">
        <v>920</v>
      </c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 t="s">
        <v>921</v>
      </c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 t="s">
        <v>922</v>
      </c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08"/>
      <c r="AO29" s="208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08"/>
      <c r="BB29" s="208"/>
      <c r="BC29" s="280"/>
      <c r="BD29" s="280"/>
      <c r="BE29" s="280"/>
      <c r="BF29" s="280"/>
      <c r="BG29" s="280"/>
      <c r="BH29" s="280"/>
      <c r="BI29" s="280"/>
      <c r="BJ29" s="280"/>
      <c r="BK29" s="280"/>
      <c r="BL29" s="280"/>
      <c r="BM29" s="280"/>
      <c r="BN29" s="208"/>
      <c r="BO29" s="208"/>
      <c r="BP29" s="280"/>
      <c r="BQ29" s="280"/>
      <c r="BR29" s="280"/>
      <c r="BS29" s="280"/>
      <c r="BT29" s="280"/>
      <c r="BU29" s="280"/>
      <c r="BV29" s="280"/>
      <c r="BW29" s="280"/>
      <c r="BX29" s="280"/>
      <c r="BY29" s="280"/>
      <c r="BZ29" s="280"/>
      <c r="CA29" s="208"/>
      <c r="CB29" s="208"/>
      <c r="CC29" s="280"/>
      <c r="CD29" s="280"/>
      <c r="CE29" s="280"/>
      <c r="CF29" s="280"/>
      <c r="CG29" s="280"/>
      <c r="CH29" s="280"/>
      <c r="CI29" s="280"/>
      <c r="CJ29" s="280"/>
      <c r="CK29" s="280"/>
      <c r="CL29" s="280"/>
      <c r="CM29" s="280"/>
      <c r="CN29" s="208"/>
      <c r="CO29" s="208"/>
      <c r="CP29" s="280"/>
      <c r="CQ29" s="280"/>
      <c r="CR29" s="280"/>
      <c r="CS29" s="280"/>
      <c r="CT29" s="280"/>
      <c r="CU29" s="280"/>
      <c r="CV29" s="280"/>
      <c r="CW29" s="280"/>
      <c r="CX29" s="280"/>
      <c r="CY29" s="280"/>
      <c r="CZ29" s="280"/>
      <c r="DA29" s="208"/>
      <c r="DB29" s="208"/>
      <c r="DC29" s="280"/>
      <c r="DD29" s="280"/>
      <c r="DE29" s="280"/>
      <c r="DF29" s="280"/>
      <c r="DG29" s="280"/>
      <c r="DH29" s="280"/>
      <c r="DI29" s="280"/>
      <c r="DJ29" s="280"/>
      <c r="DK29" s="280"/>
      <c r="DL29" s="280"/>
      <c r="DM29" s="280"/>
      <c r="DN29" s="208"/>
      <c r="DO29" s="208"/>
      <c r="DP29" s="280"/>
      <c r="DQ29" s="280"/>
      <c r="DR29" s="280"/>
      <c r="DS29" s="280"/>
      <c r="DT29" s="280"/>
      <c r="DU29" s="280"/>
      <c r="DV29" s="280"/>
      <c r="DW29" s="280"/>
      <c r="DX29" s="280"/>
      <c r="DY29" s="280"/>
      <c r="DZ29" s="280"/>
      <c r="EA29" s="208"/>
      <c r="EB29" s="208"/>
      <c r="EC29" s="280"/>
      <c r="ED29" s="280"/>
      <c r="EE29" s="280"/>
      <c r="EF29" s="280"/>
      <c r="EG29" s="280"/>
      <c r="EH29" s="280"/>
      <c r="EI29" s="280"/>
      <c r="EJ29" s="280"/>
      <c r="EK29" s="280"/>
      <c r="EL29" s="280"/>
      <c r="EM29" s="280"/>
      <c r="EN29" s="208"/>
      <c r="EO29" s="208"/>
      <c r="EP29" s="280"/>
      <c r="EQ29" s="280"/>
      <c r="ER29" s="280"/>
      <c r="ES29" s="280"/>
      <c r="ET29" s="280"/>
      <c r="EU29" s="280"/>
      <c r="EV29" s="280"/>
      <c r="EW29" s="280"/>
      <c r="EX29" s="280"/>
      <c r="EY29" s="280"/>
      <c r="EZ29" s="280"/>
      <c r="FA29" s="208"/>
      <c r="FB29" s="208"/>
      <c r="FC29" s="280"/>
      <c r="FD29" s="280"/>
      <c r="FE29" s="280"/>
      <c r="FF29" s="280"/>
      <c r="FG29" s="280"/>
      <c r="FH29" s="280"/>
      <c r="FI29" s="280"/>
      <c r="FJ29" s="280"/>
      <c r="FK29" s="280"/>
      <c r="FL29" s="280"/>
      <c r="FM29" s="280"/>
      <c r="FN29" s="208"/>
      <c r="FO29" s="208"/>
      <c r="FP29" s="280"/>
      <c r="FQ29" s="280"/>
      <c r="FR29" s="280"/>
      <c r="FS29" s="280"/>
      <c r="FT29" s="280"/>
      <c r="FU29" s="280"/>
      <c r="FV29" s="280"/>
      <c r="FW29" s="280"/>
      <c r="FX29" s="280"/>
      <c r="FY29" s="280"/>
      <c r="FZ29" s="280"/>
      <c r="GA29" s="208"/>
      <c r="GB29" s="208"/>
      <c r="GC29" s="280"/>
      <c r="GD29" s="280"/>
      <c r="GE29" s="280"/>
      <c r="GF29" s="280"/>
      <c r="GG29" s="280"/>
      <c r="GH29" s="280"/>
      <c r="GI29" s="280"/>
      <c r="GJ29" s="280"/>
      <c r="GK29" s="280"/>
      <c r="GL29" s="280"/>
      <c r="GM29" s="280"/>
      <c r="GN29" s="208"/>
      <c r="GO29" s="208"/>
      <c r="GP29" s="280"/>
      <c r="GQ29" s="280"/>
      <c r="GR29" s="280"/>
      <c r="GS29" s="280"/>
      <c r="GT29" s="280"/>
      <c r="GU29" s="280"/>
      <c r="GV29" s="280"/>
      <c r="GW29" s="280"/>
      <c r="GX29" s="280"/>
      <c r="GY29" s="280"/>
      <c r="GZ29" s="280"/>
      <c r="HA29" s="208"/>
      <c r="HB29" s="208"/>
      <c r="HC29" s="280"/>
      <c r="HD29" s="280"/>
      <c r="HE29" s="280"/>
      <c r="HF29" s="280"/>
      <c r="HG29" s="280"/>
      <c r="HH29" s="280"/>
      <c r="HI29" s="280"/>
      <c r="HJ29" s="280"/>
      <c r="HK29" s="280"/>
      <c r="HL29" s="280"/>
      <c r="HM29" s="280"/>
      <c r="HN29" s="208"/>
      <c r="HO29" s="208"/>
      <c r="HP29" s="280"/>
      <c r="HQ29" s="280"/>
      <c r="HR29" s="280"/>
      <c r="HS29" s="280"/>
      <c r="HT29" s="280"/>
      <c r="HU29" s="280"/>
      <c r="HV29" s="280"/>
      <c r="HW29" s="280"/>
      <c r="HX29" s="280"/>
      <c r="HY29" s="280"/>
      <c r="HZ29" s="280"/>
      <c r="IA29" s="208"/>
      <c r="IB29" s="208"/>
      <c r="IC29" s="280"/>
      <c r="ID29" s="280"/>
      <c r="IE29" s="280"/>
      <c r="IF29" s="280"/>
      <c r="IG29" s="280"/>
      <c r="IH29" s="280"/>
      <c r="II29" s="280"/>
      <c r="IJ29" s="280"/>
      <c r="IK29" s="280"/>
      <c r="IL29" s="280"/>
      <c r="IM29" s="280"/>
      <c r="IN29" s="208"/>
      <c r="IO29" s="208"/>
      <c r="IP29" s="280"/>
      <c r="IQ29" s="280"/>
      <c r="IR29" s="280"/>
      <c r="IS29" s="280"/>
      <c r="IT29" s="280"/>
      <c r="IU29" s="280"/>
      <c r="IV29" s="280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08"/>
      <c r="AO30" s="208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08"/>
      <c r="BB30" s="208"/>
      <c r="BC30" s="280"/>
      <c r="BD30" s="280"/>
      <c r="BE30" s="280"/>
      <c r="BF30" s="280"/>
      <c r="BG30" s="280"/>
      <c r="BH30" s="280"/>
      <c r="BI30" s="280"/>
      <c r="BJ30" s="280"/>
      <c r="BK30" s="280"/>
      <c r="BL30" s="280"/>
      <c r="BM30" s="280"/>
      <c r="BN30" s="208"/>
      <c r="BO30" s="208"/>
      <c r="BP30" s="280"/>
      <c r="BQ30" s="280"/>
      <c r="BR30" s="280"/>
      <c r="BS30" s="280"/>
      <c r="BT30" s="280"/>
      <c r="BU30" s="280"/>
      <c r="BV30" s="280"/>
      <c r="BW30" s="280"/>
      <c r="BX30" s="280"/>
      <c r="BY30" s="280"/>
      <c r="BZ30" s="280"/>
      <c r="CA30" s="208"/>
      <c r="CB30" s="208"/>
      <c r="CC30" s="280"/>
      <c r="CD30" s="280"/>
      <c r="CE30" s="280"/>
      <c r="CF30" s="280"/>
      <c r="CG30" s="280"/>
      <c r="CH30" s="280"/>
      <c r="CI30" s="280"/>
      <c r="CJ30" s="280"/>
      <c r="CK30" s="280"/>
      <c r="CL30" s="280"/>
      <c r="CM30" s="280"/>
      <c r="CN30" s="208"/>
      <c r="CO30" s="208"/>
      <c r="CP30" s="280"/>
      <c r="CQ30" s="280"/>
      <c r="CR30" s="280"/>
      <c r="CS30" s="280"/>
      <c r="CT30" s="280"/>
      <c r="CU30" s="280"/>
      <c r="CV30" s="280"/>
      <c r="CW30" s="280"/>
      <c r="CX30" s="280"/>
      <c r="CY30" s="280"/>
      <c r="CZ30" s="280"/>
      <c r="DA30" s="208"/>
      <c r="DB30" s="208"/>
      <c r="DC30" s="280"/>
      <c r="DD30" s="280"/>
      <c r="DE30" s="280"/>
      <c r="DF30" s="280"/>
      <c r="DG30" s="280"/>
      <c r="DH30" s="280"/>
      <c r="DI30" s="280"/>
      <c r="DJ30" s="280"/>
      <c r="DK30" s="280"/>
      <c r="DL30" s="280"/>
      <c r="DM30" s="280"/>
      <c r="DN30" s="208"/>
      <c r="DO30" s="208"/>
      <c r="DP30" s="280"/>
      <c r="DQ30" s="280"/>
      <c r="DR30" s="280"/>
      <c r="DS30" s="280"/>
      <c r="DT30" s="280"/>
      <c r="DU30" s="280"/>
      <c r="DV30" s="280"/>
      <c r="DW30" s="280"/>
      <c r="DX30" s="280"/>
      <c r="DY30" s="280"/>
      <c r="DZ30" s="280"/>
      <c r="EA30" s="208"/>
      <c r="EB30" s="208"/>
      <c r="EC30" s="280"/>
      <c r="ED30" s="280"/>
      <c r="EE30" s="280"/>
      <c r="EF30" s="280"/>
      <c r="EG30" s="280"/>
      <c r="EH30" s="280"/>
      <c r="EI30" s="280"/>
      <c r="EJ30" s="280"/>
      <c r="EK30" s="280"/>
      <c r="EL30" s="280"/>
      <c r="EM30" s="280"/>
      <c r="EN30" s="208"/>
      <c r="EO30" s="208"/>
      <c r="EP30" s="280"/>
      <c r="EQ30" s="280"/>
      <c r="ER30" s="280"/>
      <c r="ES30" s="280"/>
      <c r="ET30" s="280"/>
      <c r="EU30" s="280"/>
      <c r="EV30" s="280"/>
      <c r="EW30" s="280"/>
      <c r="EX30" s="280"/>
      <c r="EY30" s="280"/>
      <c r="EZ30" s="280"/>
      <c r="FA30" s="208"/>
      <c r="FB30" s="208"/>
      <c r="FC30" s="280"/>
      <c r="FD30" s="280"/>
      <c r="FE30" s="280"/>
      <c r="FF30" s="280"/>
      <c r="FG30" s="280"/>
      <c r="FH30" s="280"/>
      <c r="FI30" s="280"/>
      <c r="FJ30" s="280"/>
      <c r="FK30" s="280"/>
      <c r="FL30" s="280"/>
      <c r="FM30" s="280"/>
      <c r="FN30" s="208"/>
      <c r="FO30" s="208"/>
      <c r="FP30" s="280"/>
      <c r="FQ30" s="280"/>
      <c r="FR30" s="280"/>
      <c r="FS30" s="280"/>
      <c r="FT30" s="280"/>
      <c r="FU30" s="280"/>
      <c r="FV30" s="280"/>
      <c r="FW30" s="280"/>
      <c r="FX30" s="280"/>
      <c r="FY30" s="280"/>
      <c r="FZ30" s="280"/>
      <c r="GA30" s="208"/>
      <c r="GB30" s="208"/>
      <c r="GC30" s="280"/>
      <c r="GD30" s="280"/>
      <c r="GE30" s="280"/>
      <c r="GF30" s="280"/>
      <c r="GG30" s="280"/>
      <c r="GH30" s="280"/>
      <c r="GI30" s="280"/>
      <c r="GJ30" s="280"/>
      <c r="GK30" s="280"/>
      <c r="GL30" s="280"/>
      <c r="GM30" s="280"/>
      <c r="GN30" s="208"/>
      <c r="GO30" s="208"/>
      <c r="GP30" s="280"/>
      <c r="GQ30" s="280"/>
      <c r="GR30" s="280"/>
      <c r="GS30" s="280"/>
      <c r="GT30" s="280"/>
      <c r="GU30" s="280"/>
      <c r="GV30" s="280"/>
      <c r="GW30" s="280"/>
      <c r="GX30" s="280"/>
      <c r="GY30" s="280"/>
      <c r="GZ30" s="280"/>
      <c r="HA30" s="208"/>
      <c r="HB30" s="208"/>
      <c r="HC30" s="280"/>
      <c r="HD30" s="280"/>
      <c r="HE30" s="280"/>
      <c r="HF30" s="280"/>
      <c r="HG30" s="280"/>
      <c r="HH30" s="280"/>
      <c r="HI30" s="280"/>
      <c r="HJ30" s="280"/>
      <c r="HK30" s="280"/>
      <c r="HL30" s="280"/>
      <c r="HM30" s="280"/>
      <c r="HN30" s="208"/>
      <c r="HO30" s="208"/>
      <c r="HP30" s="280"/>
      <c r="HQ30" s="280"/>
      <c r="HR30" s="280"/>
      <c r="HS30" s="280"/>
      <c r="HT30" s="280"/>
      <c r="HU30" s="280"/>
      <c r="HV30" s="280"/>
      <c r="HW30" s="280"/>
      <c r="HX30" s="280"/>
      <c r="HY30" s="280"/>
      <c r="HZ30" s="280"/>
      <c r="IA30" s="208"/>
      <c r="IB30" s="208"/>
      <c r="IC30" s="280"/>
      <c r="ID30" s="280"/>
      <c r="IE30" s="280"/>
      <c r="IF30" s="280"/>
      <c r="IG30" s="280"/>
      <c r="IH30" s="280"/>
      <c r="II30" s="280"/>
      <c r="IJ30" s="280"/>
      <c r="IK30" s="280"/>
      <c r="IL30" s="280"/>
      <c r="IM30" s="280"/>
      <c r="IN30" s="208"/>
      <c r="IO30" s="208"/>
      <c r="IP30" s="280"/>
      <c r="IQ30" s="280"/>
      <c r="IR30" s="280"/>
      <c r="IS30" s="280"/>
      <c r="IT30" s="280"/>
      <c r="IU30" s="280"/>
      <c r="IV30" s="280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08"/>
      <c r="AO31" s="208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08"/>
      <c r="BB31" s="208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08"/>
      <c r="BO31" s="208"/>
      <c r="BP31" s="280"/>
      <c r="BQ31" s="280"/>
      <c r="BR31" s="280"/>
      <c r="BS31" s="280"/>
      <c r="BT31" s="280"/>
      <c r="BU31" s="280"/>
      <c r="BV31" s="280"/>
      <c r="BW31" s="280"/>
      <c r="BX31" s="280"/>
      <c r="BY31" s="280"/>
      <c r="BZ31" s="280"/>
      <c r="CA31" s="208"/>
      <c r="CB31" s="208"/>
      <c r="CC31" s="280"/>
      <c r="CD31" s="280"/>
      <c r="CE31" s="280"/>
      <c r="CF31" s="280"/>
      <c r="CG31" s="280"/>
      <c r="CH31" s="280"/>
      <c r="CI31" s="280"/>
      <c r="CJ31" s="280"/>
      <c r="CK31" s="280"/>
      <c r="CL31" s="280"/>
      <c r="CM31" s="280"/>
      <c r="CN31" s="208"/>
      <c r="CO31" s="208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08"/>
      <c r="DB31" s="208"/>
      <c r="DC31" s="280"/>
      <c r="DD31" s="280"/>
      <c r="DE31" s="280"/>
      <c r="DF31" s="280"/>
      <c r="DG31" s="280"/>
      <c r="DH31" s="280"/>
      <c r="DI31" s="280"/>
      <c r="DJ31" s="280"/>
      <c r="DK31" s="280"/>
      <c r="DL31" s="280"/>
      <c r="DM31" s="280"/>
      <c r="DN31" s="208"/>
      <c r="DO31" s="208"/>
      <c r="DP31" s="280"/>
      <c r="DQ31" s="280"/>
      <c r="DR31" s="280"/>
      <c r="DS31" s="280"/>
      <c r="DT31" s="280"/>
      <c r="DU31" s="280"/>
      <c r="DV31" s="280"/>
      <c r="DW31" s="280"/>
      <c r="DX31" s="280"/>
      <c r="DY31" s="280"/>
      <c r="DZ31" s="280"/>
      <c r="EA31" s="208"/>
      <c r="EB31" s="208"/>
      <c r="EC31" s="280"/>
      <c r="ED31" s="280"/>
      <c r="EE31" s="280"/>
      <c r="EF31" s="280"/>
      <c r="EG31" s="280"/>
      <c r="EH31" s="280"/>
      <c r="EI31" s="280"/>
      <c r="EJ31" s="280"/>
      <c r="EK31" s="280"/>
      <c r="EL31" s="280"/>
      <c r="EM31" s="280"/>
      <c r="EN31" s="208"/>
      <c r="EO31" s="208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08"/>
      <c r="FB31" s="208"/>
      <c r="FC31" s="280"/>
      <c r="FD31" s="280"/>
      <c r="FE31" s="280"/>
      <c r="FF31" s="280"/>
      <c r="FG31" s="280"/>
      <c r="FH31" s="280"/>
      <c r="FI31" s="280"/>
      <c r="FJ31" s="280"/>
      <c r="FK31" s="280"/>
      <c r="FL31" s="280"/>
      <c r="FM31" s="280"/>
      <c r="FN31" s="208"/>
      <c r="FO31" s="208"/>
      <c r="FP31" s="280"/>
      <c r="FQ31" s="280"/>
      <c r="FR31" s="280"/>
      <c r="FS31" s="280"/>
      <c r="FT31" s="280"/>
      <c r="FU31" s="280"/>
      <c r="FV31" s="280"/>
      <c r="FW31" s="280"/>
      <c r="FX31" s="280"/>
      <c r="FY31" s="280"/>
      <c r="FZ31" s="280"/>
      <c r="GA31" s="208"/>
      <c r="GB31" s="208"/>
      <c r="GC31" s="280"/>
      <c r="GD31" s="280"/>
      <c r="GE31" s="280"/>
      <c r="GF31" s="280"/>
      <c r="GG31" s="280"/>
      <c r="GH31" s="280"/>
      <c r="GI31" s="280"/>
      <c r="GJ31" s="280"/>
      <c r="GK31" s="280"/>
      <c r="GL31" s="280"/>
      <c r="GM31" s="280"/>
      <c r="GN31" s="208"/>
      <c r="GO31" s="208"/>
      <c r="GP31" s="280"/>
      <c r="GQ31" s="280"/>
      <c r="GR31" s="280"/>
      <c r="GS31" s="280"/>
      <c r="GT31" s="280"/>
      <c r="GU31" s="280"/>
      <c r="GV31" s="280"/>
      <c r="GW31" s="280"/>
      <c r="GX31" s="280"/>
      <c r="GY31" s="280"/>
      <c r="GZ31" s="280"/>
      <c r="HA31" s="208"/>
      <c r="HB31" s="208"/>
      <c r="HC31" s="280"/>
      <c r="HD31" s="280"/>
      <c r="HE31" s="280"/>
      <c r="HF31" s="280"/>
      <c r="HG31" s="280"/>
      <c r="HH31" s="280"/>
      <c r="HI31" s="280"/>
      <c r="HJ31" s="280"/>
      <c r="HK31" s="280"/>
      <c r="HL31" s="280"/>
      <c r="HM31" s="280"/>
      <c r="HN31" s="208"/>
      <c r="HO31" s="208"/>
      <c r="HP31" s="280"/>
      <c r="HQ31" s="280"/>
      <c r="HR31" s="280"/>
      <c r="HS31" s="280"/>
      <c r="HT31" s="280"/>
      <c r="HU31" s="280"/>
      <c r="HV31" s="280"/>
      <c r="HW31" s="280"/>
      <c r="HX31" s="280"/>
      <c r="HY31" s="280"/>
      <c r="HZ31" s="280"/>
      <c r="IA31" s="208"/>
      <c r="IB31" s="208"/>
      <c r="IC31" s="280"/>
      <c r="ID31" s="280"/>
      <c r="IE31" s="280"/>
      <c r="IF31" s="280"/>
      <c r="IG31" s="280"/>
      <c r="IH31" s="280"/>
      <c r="II31" s="280"/>
      <c r="IJ31" s="280"/>
      <c r="IK31" s="280"/>
      <c r="IL31" s="280"/>
      <c r="IM31" s="280"/>
      <c r="IN31" s="208"/>
      <c r="IO31" s="208"/>
      <c r="IP31" s="280"/>
      <c r="IQ31" s="280"/>
      <c r="IR31" s="280"/>
      <c r="IS31" s="280"/>
      <c r="IT31" s="280"/>
      <c r="IU31" s="280"/>
      <c r="IV31" s="280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08"/>
      <c r="AO38" s="208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08"/>
      <c r="BB38" s="208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0"/>
      <c r="BN38" s="208"/>
      <c r="BO38" s="208"/>
      <c r="BP38" s="280"/>
      <c r="BQ38" s="280"/>
      <c r="BR38" s="280"/>
      <c r="BS38" s="280"/>
      <c r="BT38" s="280"/>
      <c r="BU38" s="280"/>
      <c r="BV38" s="280"/>
      <c r="BW38" s="280"/>
      <c r="BX38" s="280"/>
      <c r="BY38" s="280"/>
      <c r="BZ38" s="280"/>
      <c r="CA38" s="208"/>
      <c r="CB38" s="208"/>
      <c r="CC38" s="280"/>
      <c r="CD38" s="280"/>
      <c r="CE38" s="280"/>
      <c r="CF38" s="280"/>
      <c r="CG38" s="280"/>
      <c r="CH38" s="280"/>
      <c r="CI38" s="280"/>
      <c r="CJ38" s="280"/>
      <c r="CK38" s="280"/>
      <c r="CL38" s="280"/>
      <c r="CM38" s="280"/>
      <c r="CN38" s="208"/>
      <c r="CO38" s="208"/>
      <c r="CP38" s="280"/>
      <c r="CQ38" s="280"/>
      <c r="CR38" s="280"/>
      <c r="CS38" s="280"/>
      <c r="CT38" s="280"/>
      <c r="CU38" s="280"/>
      <c r="CV38" s="280"/>
      <c r="CW38" s="280"/>
      <c r="CX38" s="280"/>
      <c r="CY38" s="280"/>
      <c r="CZ38" s="280"/>
      <c r="DA38" s="208"/>
      <c r="DB38" s="208"/>
      <c r="DC38" s="280"/>
      <c r="DD38" s="280"/>
      <c r="DE38" s="280"/>
      <c r="DF38" s="280"/>
      <c r="DG38" s="280"/>
      <c r="DH38" s="280"/>
      <c r="DI38" s="280"/>
      <c r="DJ38" s="280"/>
      <c r="DK38" s="280"/>
      <c r="DL38" s="280"/>
      <c r="DM38" s="280"/>
      <c r="DN38" s="208"/>
      <c r="DO38" s="208"/>
      <c r="DP38" s="280"/>
      <c r="DQ38" s="280"/>
      <c r="DR38" s="280"/>
      <c r="DS38" s="280"/>
      <c r="DT38" s="280"/>
      <c r="DU38" s="280"/>
      <c r="DV38" s="280"/>
      <c r="DW38" s="280"/>
      <c r="DX38" s="280"/>
      <c r="DY38" s="280"/>
      <c r="DZ38" s="280"/>
      <c r="EA38" s="208"/>
      <c r="EB38" s="208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08"/>
      <c r="EO38" s="208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08"/>
      <c r="FB38" s="208"/>
      <c r="FC38" s="280"/>
      <c r="FD38" s="280"/>
      <c r="FE38" s="280"/>
      <c r="FF38" s="280"/>
      <c r="FG38" s="280"/>
      <c r="FH38" s="280"/>
      <c r="FI38" s="280"/>
      <c r="FJ38" s="280"/>
      <c r="FK38" s="280"/>
      <c r="FL38" s="280"/>
      <c r="FM38" s="280"/>
      <c r="FN38" s="208"/>
      <c r="FO38" s="208"/>
      <c r="FP38" s="280"/>
      <c r="FQ38" s="280"/>
      <c r="FR38" s="280"/>
      <c r="FS38" s="280"/>
      <c r="FT38" s="280"/>
      <c r="FU38" s="280"/>
      <c r="FV38" s="280"/>
      <c r="FW38" s="280"/>
      <c r="FX38" s="280"/>
      <c r="FY38" s="280"/>
      <c r="FZ38" s="280"/>
      <c r="GA38" s="208"/>
      <c r="GB38" s="208"/>
      <c r="GC38" s="280"/>
      <c r="GD38" s="280"/>
      <c r="GE38" s="280"/>
      <c r="GF38" s="280"/>
      <c r="GG38" s="280"/>
      <c r="GH38" s="280"/>
      <c r="GI38" s="280"/>
      <c r="GJ38" s="280"/>
      <c r="GK38" s="280"/>
      <c r="GL38" s="280"/>
      <c r="GM38" s="280"/>
      <c r="GN38" s="208"/>
      <c r="GO38" s="208"/>
      <c r="GP38" s="280"/>
      <c r="GQ38" s="280"/>
      <c r="GR38" s="280"/>
      <c r="GS38" s="280"/>
      <c r="GT38" s="280"/>
      <c r="GU38" s="280"/>
      <c r="GV38" s="280"/>
      <c r="GW38" s="280"/>
      <c r="GX38" s="280"/>
      <c r="GY38" s="280"/>
      <c r="GZ38" s="280"/>
      <c r="HA38" s="208"/>
      <c r="HB38" s="208"/>
      <c r="HC38" s="280"/>
      <c r="HD38" s="280"/>
      <c r="HE38" s="280"/>
      <c r="HF38" s="280"/>
      <c r="HG38" s="280"/>
      <c r="HH38" s="280"/>
      <c r="HI38" s="280"/>
      <c r="HJ38" s="280"/>
      <c r="HK38" s="280"/>
      <c r="HL38" s="280"/>
      <c r="HM38" s="280"/>
      <c r="HN38" s="208"/>
      <c r="HO38" s="208"/>
      <c r="HP38" s="280"/>
      <c r="HQ38" s="280"/>
      <c r="HR38" s="280"/>
      <c r="HS38" s="280"/>
      <c r="HT38" s="280"/>
      <c r="HU38" s="280"/>
      <c r="HV38" s="280"/>
      <c r="HW38" s="280"/>
      <c r="HX38" s="280"/>
      <c r="HY38" s="280"/>
      <c r="HZ38" s="280"/>
      <c r="IA38" s="208"/>
      <c r="IB38" s="208"/>
      <c r="IC38" s="280"/>
      <c r="ID38" s="280"/>
      <c r="IE38" s="280"/>
      <c r="IF38" s="280"/>
      <c r="IG38" s="280"/>
      <c r="IH38" s="280"/>
      <c r="II38" s="280"/>
      <c r="IJ38" s="280"/>
      <c r="IK38" s="280"/>
      <c r="IL38" s="280"/>
      <c r="IM38" s="280"/>
      <c r="IN38" s="208"/>
      <c r="IO38" s="208"/>
      <c r="IP38" s="280"/>
      <c r="IQ38" s="280"/>
      <c r="IR38" s="280"/>
      <c r="IS38" s="280"/>
      <c r="IT38" s="280"/>
      <c r="IU38" s="280"/>
      <c r="IV38" s="280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08"/>
      <c r="AO39" s="208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08"/>
      <c r="BB39" s="208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0"/>
      <c r="BN39" s="208"/>
      <c r="BO39" s="208"/>
      <c r="BP39" s="280"/>
      <c r="BQ39" s="280"/>
      <c r="BR39" s="280"/>
      <c r="BS39" s="280"/>
      <c r="BT39" s="280"/>
      <c r="BU39" s="280"/>
      <c r="BV39" s="280"/>
      <c r="BW39" s="280"/>
      <c r="BX39" s="280"/>
      <c r="BY39" s="280"/>
      <c r="BZ39" s="280"/>
      <c r="CA39" s="208"/>
      <c r="CB39" s="208"/>
      <c r="CC39" s="280"/>
      <c r="CD39" s="280"/>
      <c r="CE39" s="280"/>
      <c r="CF39" s="280"/>
      <c r="CG39" s="280"/>
      <c r="CH39" s="280"/>
      <c r="CI39" s="280"/>
      <c r="CJ39" s="280"/>
      <c r="CK39" s="280"/>
      <c r="CL39" s="280"/>
      <c r="CM39" s="280"/>
      <c r="CN39" s="208"/>
      <c r="CO39" s="208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08"/>
      <c r="DB39" s="208"/>
      <c r="DC39" s="280"/>
      <c r="DD39" s="280"/>
      <c r="DE39" s="280"/>
      <c r="DF39" s="280"/>
      <c r="DG39" s="280"/>
      <c r="DH39" s="280"/>
      <c r="DI39" s="280"/>
      <c r="DJ39" s="280"/>
      <c r="DK39" s="280"/>
      <c r="DL39" s="280"/>
      <c r="DM39" s="280"/>
      <c r="DN39" s="208"/>
      <c r="DO39" s="208"/>
      <c r="DP39" s="280"/>
      <c r="DQ39" s="280"/>
      <c r="DR39" s="280"/>
      <c r="DS39" s="280"/>
      <c r="DT39" s="280"/>
      <c r="DU39" s="280"/>
      <c r="DV39" s="280"/>
      <c r="DW39" s="280"/>
      <c r="DX39" s="280"/>
      <c r="DY39" s="280"/>
      <c r="DZ39" s="280"/>
      <c r="EA39" s="208"/>
      <c r="EB39" s="208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08"/>
      <c r="EO39" s="208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08"/>
      <c r="FB39" s="208"/>
      <c r="FC39" s="280"/>
      <c r="FD39" s="280"/>
      <c r="FE39" s="280"/>
      <c r="FF39" s="280"/>
      <c r="FG39" s="280"/>
      <c r="FH39" s="280"/>
      <c r="FI39" s="280"/>
      <c r="FJ39" s="280"/>
      <c r="FK39" s="280"/>
      <c r="FL39" s="280"/>
      <c r="FM39" s="280"/>
      <c r="FN39" s="208"/>
      <c r="FO39" s="208"/>
      <c r="FP39" s="280"/>
      <c r="FQ39" s="280"/>
      <c r="FR39" s="280"/>
      <c r="FS39" s="280"/>
      <c r="FT39" s="280"/>
      <c r="FU39" s="280"/>
      <c r="FV39" s="280"/>
      <c r="FW39" s="280"/>
      <c r="FX39" s="280"/>
      <c r="FY39" s="280"/>
      <c r="FZ39" s="280"/>
      <c r="GA39" s="208"/>
      <c r="GB39" s="208"/>
      <c r="GC39" s="280"/>
      <c r="GD39" s="280"/>
      <c r="GE39" s="280"/>
      <c r="GF39" s="280"/>
      <c r="GG39" s="280"/>
      <c r="GH39" s="280"/>
      <c r="GI39" s="280"/>
      <c r="GJ39" s="280"/>
      <c r="GK39" s="280"/>
      <c r="GL39" s="280"/>
      <c r="GM39" s="280"/>
      <c r="GN39" s="208"/>
      <c r="GO39" s="208"/>
      <c r="GP39" s="280"/>
      <c r="GQ39" s="280"/>
      <c r="GR39" s="280"/>
      <c r="GS39" s="280"/>
      <c r="GT39" s="280"/>
      <c r="GU39" s="280"/>
      <c r="GV39" s="280"/>
      <c r="GW39" s="280"/>
      <c r="GX39" s="280"/>
      <c r="GY39" s="280"/>
      <c r="GZ39" s="280"/>
      <c r="HA39" s="208"/>
      <c r="HB39" s="208"/>
      <c r="HC39" s="280"/>
      <c r="HD39" s="280"/>
      <c r="HE39" s="280"/>
      <c r="HF39" s="280"/>
      <c r="HG39" s="280"/>
      <c r="HH39" s="280"/>
      <c r="HI39" s="280"/>
      <c r="HJ39" s="280"/>
      <c r="HK39" s="280"/>
      <c r="HL39" s="280"/>
      <c r="HM39" s="280"/>
      <c r="HN39" s="208"/>
      <c r="HO39" s="208"/>
      <c r="HP39" s="280"/>
      <c r="HQ39" s="280"/>
      <c r="HR39" s="280"/>
      <c r="HS39" s="280"/>
      <c r="HT39" s="280"/>
      <c r="HU39" s="280"/>
      <c r="HV39" s="280"/>
      <c r="HW39" s="280"/>
      <c r="HX39" s="280"/>
      <c r="HY39" s="280"/>
      <c r="HZ39" s="280"/>
      <c r="IA39" s="208"/>
      <c r="IB39" s="208"/>
      <c r="IC39" s="280"/>
      <c r="ID39" s="280"/>
      <c r="IE39" s="280"/>
      <c r="IF39" s="280"/>
      <c r="IG39" s="280"/>
      <c r="IH39" s="280"/>
      <c r="II39" s="280"/>
      <c r="IJ39" s="280"/>
      <c r="IK39" s="280"/>
      <c r="IL39" s="280"/>
      <c r="IM39" s="280"/>
      <c r="IN39" s="208"/>
      <c r="IO39" s="208"/>
      <c r="IP39" s="280"/>
      <c r="IQ39" s="280"/>
      <c r="IR39" s="280"/>
      <c r="IS39" s="280"/>
      <c r="IT39" s="280"/>
      <c r="IU39" s="280"/>
      <c r="IV39" s="280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08"/>
      <c r="AO40" s="208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08"/>
      <c r="BB40" s="208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08"/>
      <c r="BO40" s="208"/>
      <c r="BP40" s="280"/>
      <c r="BQ40" s="280"/>
      <c r="BR40" s="280"/>
      <c r="BS40" s="280"/>
      <c r="BT40" s="280"/>
      <c r="BU40" s="280"/>
      <c r="BV40" s="280"/>
      <c r="BW40" s="280"/>
      <c r="BX40" s="280"/>
      <c r="BY40" s="280"/>
      <c r="BZ40" s="280"/>
      <c r="CA40" s="208"/>
      <c r="CB40" s="208"/>
      <c r="CC40" s="280"/>
      <c r="CD40" s="280"/>
      <c r="CE40" s="280"/>
      <c r="CF40" s="280"/>
      <c r="CG40" s="280"/>
      <c r="CH40" s="280"/>
      <c r="CI40" s="280"/>
      <c r="CJ40" s="280"/>
      <c r="CK40" s="280"/>
      <c r="CL40" s="280"/>
      <c r="CM40" s="280"/>
      <c r="CN40" s="208"/>
      <c r="CO40" s="208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08"/>
      <c r="DB40" s="208"/>
      <c r="DC40" s="280"/>
      <c r="DD40" s="280"/>
      <c r="DE40" s="280"/>
      <c r="DF40" s="280"/>
      <c r="DG40" s="280"/>
      <c r="DH40" s="280"/>
      <c r="DI40" s="280"/>
      <c r="DJ40" s="280"/>
      <c r="DK40" s="280"/>
      <c r="DL40" s="280"/>
      <c r="DM40" s="280"/>
      <c r="DN40" s="208"/>
      <c r="DO40" s="208"/>
      <c r="DP40" s="280"/>
      <c r="DQ40" s="280"/>
      <c r="DR40" s="280"/>
      <c r="DS40" s="280"/>
      <c r="DT40" s="280"/>
      <c r="DU40" s="280"/>
      <c r="DV40" s="280"/>
      <c r="DW40" s="280"/>
      <c r="DX40" s="280"/>
      <c r="DY40" s="280"/>
      <c r="DZ40" s="280"/>
      <c r="EA40" s="208"/>
      <c r="EB40" s="208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08"/>
      <c r="EO40" s="208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08"/>
      <c r="FB40" s="208"/>
      <c r="FC40" s="280"/>
      <c r="FD40" s="280"/>
      <c r="FE40" s="280"/>
      <c r="FF40" s="280"/>
      <c r="FG40" s="280"/>
      <c r="FH40" s="280"/>
      <c r="FI40" s="280"/>
      <c r="FJ40" s="280"/>
      <c r="FK40" s="280"/>
      <c r="FL40" s="280"/>
      <c r="FM40" s="280"/>
      <c r="FN40" s="208"/>
      <c r="FO40" s="208"/>
      <c r="FP40" s="280"/>
      <c r="FQ40" s="280"/>
      <c r="FR40" s="280"/>
      <c r="FS40" s="280"/>
      <c r="FT40" s="280"/>
      <c r="FU40" s="280"/>
      <c r="FV40" s="280"/>
      <c r="FW40" s="280"/>
      <c r="FX40" s="280"/>
      <c r="FY40" s="280"/>
      <c r="FZ40" s="280"/>
      <c r="GA40" s="208"/>
      <c r="GB40" s="208"/>
      <c r="GC40" s="280"/>
      <c r="GD40" s="280"/>
      <c r="GE40" s="280"/>
      <c r="GF40" s="280"/>
      <c r="GG40" s="280"/>
      <c r="GH40" s="280"/>
      <c r="GI40" s="280"/>
      <c r="GJ40" s="280"/>
      <c r="GK40" s="280"/>
      <c r="GL40" s="280"/>
      <c r="GM40" s="280"/>
      <c r="GN40" s="208"/>
      <c r="GO40" s="208"/>
      <c r="GP40" s="280"/>
      <c r="GQ40" s="280"/>
      <c r="GR40" s="280"/>
      <c r="GS40" s="280"/>
      <c r="GT40" s="280"/>
      <c r="GU40" s="280"/>
      <c r="GV40" s="280"/>
      <c r="GW40" s="280"/>
      <c r="GX40" s="280"/>
      <c r="GY40" s="280"/>
      <c r="GZ40" s="280"/>
      <c r="HA40" s="208"/>
      <c r="HB40" s="208"/>
      <c r="HC40" s="280"/>
      <c r="HD40" s="280"/>
      <c r="HE40" s="280"/>
      <c r="HF40" s="280"/>
      <c r="HG40" s="280"/>
      <c r="HH40" s="280"/>
      <c r="HI40" s="280"/>
      <c r="HJ40" s="280"/>
      <c r="HK40" s="280"/>
      <c r="HL40" s="280"/>
      <c r="HM40" s="280"/>
      <c r="HN40" s="208"/>
      <c r="HO40" s="208"/>
      <c r="HP40" s="280"/>
      <c r="HQ40" s="280"/>
      <c r="HR40" s="280"/>
      <c r="HS40" s="280"/>
      <c r="HT40" s="280"/>
      <c r="HU40" s="280"/>
      <c r="HV40" s="280"/>
      <c r="HW40" s="280"/>
      <c r="HX40" s="280"/>
      <c r="HY40" s="280"/>
      <c r="HZ40" s="280"/>
      <c r="IA40" s="208"/>
      <c r="IB40" s="208"/>
      <c r="IC40" s="280"/>
      <c r="ID40" s="280"/>
      <c r="IE40" s="280"/>
      <c r="IF40" s="280"/>
      <c r="IG40" s="280"/>
      <c r="IH40" s="280"/>
      <c r="II40" s="280"/>
      <c r="IJ40" s="280"/>
      <c r="IK40" s="280"/>
      <c r="IL40" s="280"/>
      <c r="IM40" s="280"/>
      <c r="IN40" s="208"/>
      <c r="IO40" s="208"/>
      <c r="IP40" s="280"/>
      <c r="IQ40" s="280"/>
      <c r="IR40" s="280"/>
      <c r="IS40" s="280"/>
      <c r="IT40" s="280"/>
      <c r="IU40" s="280"/>
      <c r="IV40" s="280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77:M77"/>
    <mergeCell ref="C78:M78"/>
    <mergeCell ref="C70:M70"/>
    <mergeCell ref="A72:E72"/>
    <mergeCell ref="C73:M73"/>
    <mergeCell ref="C74:M74"/>
    <mergeCell ref="C88:M88"/>
    <mergeCell ref="C89:M89"/>
    <mergeCell ref="C90:M90"/>
    <mergeCell ref="C83:M83"/>
    <mergeCell ref="C84:M84"/>
    <mergeCell ref="C85:M85"/>
    <mergeCell ref="C86:M86"/>
    <mergeCell ref="C87:M87"/>
    <mergeCell ref="C79:M79"/>
    <mergeCell ref="C80:M80"/>
    <mergeCell ref="C81:M81"/>
    <mergeCell ref="C82:M82"/>
    <mergeCell ref="C75:M75"/>
    <mergeCell ref="C76:M76"/>
    <mergeCell ref="C28:M28"/>
    <mergeCell ref="C32:M32"/>
    <mergeCell ref="C30:M30"/>
    <mergeCell ref="C31:M31"/>
    <mergeCell ref="C66:M66"/>
    <mergeCell ref="C67:M67"/>
    <mergeCell ref="C68:M68"/>
    <mergeCell ref="C69:M69"/>
    <mergeCell ref="C62:M62"/>
    <mergeCell ref="C63:M63"/>
    <mergeCell ref="C64:M64"/>
    <mergeCell ref="C65:M65"/>
    <mergeCell ref="C42:M42"/>
    <mergeCell ref="A1:I1"/>
    <mergeCell ref="C3:M3"/>
    <mergeCell ref="C4:M4"/>
    <mergeCell ref="F2:I2"/>
    <mergeCell ref="A2:E2"/>
    <mergeCell ref="C13:M13"/>
    <mergeCell ref="C22:M22"/>
    <mergeCell ref="C23:M23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34:M34"/>
    <mergeCell ref="C9:M9"/>
    <mergeCell ref="C10:M10"/>
    <mergeCell ref="C11:M11"/>
    <mergeCell ref="C12:M12"/>
    <mergeCell ref="AP31:AZ31"/>
    <mergeCell ref="P32:Z32"/>
    <mergeCell ref="BP29:BZ29"/>
    <mergeCell ref="CC29:CM29"/>
    <mergeCell ref="P29:Z29"/>
    <mergeCell ref="AC29:AM29"/>
    <mergeCell ref="AP29:AZ29"/>
    <mergeCell ref="C24:M24"/>
    <mergeCell ref="C29:M29"/>
    <mergeCell ref="C25:M25"/>
    <mergeCell ref="BC32:BM32"/>
    <mergeCell ref="C14:M14"/>
    <mergeCell ref="C15:M15"/>
    <mergeCell ref="C16:M16"/>
    <mergeCell ref="C17:M17"/>
    <mergeCell ref="C18:M18"/>
    <mergeCell ref="C19:M19"/>
    <mergeCell ref="C21:M21"/>
    <mergeCell ref="C26:M26"/>
    <mergeCell ref="C27:M27"/>
    <mergeCell ref="C5:M5"/>
    <mergeCell ref="C6:M6"/>
    <mergeCell ref="C7:M7"/>
    <mergeCell ref="C8:M8"/>
    <mergeCell ref="C20:M20"/>
    <mergeCell ref="BC29:BM29"/>
    <mergeCell ref="P38:Z38"/>
    <mergeCell ref="AC31:AM31"/>
    <mergeCell ref="IP29:IV29"/>
    <mergeCell ref="FP29:FZ29"/>
    <mergeCell ref="GC29:GM29"/>
    <mergeCell ref="GP29:GZ29"/>
    <mergeCell ref="HC29:HM29"/>
    <mergeCell ref="HP29:HZ29"/>
    <mergeCell ref="IC29:IM29"/>
    <mergeCell ref="CP29:CZ29"/>
    <mergeCell ref="DC29:DM29"/>
    <mergeCell ref="DP29:DZ29"/>
    <mergeCell ref="EC29:EM29"/>
    <mergeCell ref="EP29:EZ29"/>
    <mergeCell ref="FC29:FM29"/>
    <mergeCell ref="IC30:IM30"/>
    <mergeCell ref="IP30:IV30"/>
    <mergeCell ref="BC31:BM31"/>
    <mergeCell ref="P30:Z30"/>
    <mergeCell ref="AC30:AM30"/>
    <mergeCell ref="AP30:AZ30"/>
    <mergeCell ref="C41:M41"/>
    <mergeCell ref="C33:M33"/>
    <mergeCell ref="C37:M37"/>
    <mergeCell ref="C38:M38"/>
    <mergeCell ref="C39:M39"/>
    <mergeCell ref="AP40:AZ40"/>
    <mergeCell ref="AC38:AM38"/>
    <mergeCell ref="AP38:AZ38"/>
    <mergeCell ref="AC32:AM32"/>
    <mergeCell ref="AP32:AZ32"/>
    <mergeCell ref="P39:Z39"/>
    <mergeCell ref="AC39:AM39"/>
    <mergeCell ref="AP39:AZ39"/>
    <mergeCell ref="P31:Z31"/>
    <mergeCell ref="C35:M35"/>
    <mergeCell ref="C36:M36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GP31:GZ31"/>
    <mergeCell ref="BP38:BZ38"/>
    <mergeCell ref="CC38:CM38"/>
    <mergeCell ref="CC32:CM32"/>
    <mergeCell ref="CP38:CZ38"/>
    <mergeCell ref="BP32:BZ32"/>
    <mergeCell ref="BC38:BM38"/>
    <mergeCell ref="DC38:DM38"/>
    <mergeCell ref="DP38:DZ38"/>
    <mergeCell ref="EC38:EM38"/>
    <mergeCell ref="EP38:EZ38"/>
    <mergeCell ref="FC38:FM38"/>
    <mergeCell ref="FP38:FZ38"/>
    <mergeCell ref="DC39:DM39"/>
    <mergeCell ref="DP39:DZ39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BC30:BM30"/>
    <mergeCell ref="BP30:BZ30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HC32:HM32"/>
    <mergeCell ref="EP32:EZ32"/>
    <mergeCell ref="GP32:GZ32"/>
    <mergeCell ref="DC32:DM32"/>
    <mergeCell ref="DP32:DZ32"/>
    <mergeCell ref="EC32:EM32"/>
    <mergeCell ref="FP32:FZ32"/>
    <mergeCell ref="GC32:GM32"/>
    <mergeCell ref="IP39:IV39"/>
    <mergeCell ref="EP39:EZ39"/>
    <mergeCell ref="FC39:FM39"/>
    <mergeCell ref="FP39:FZ39"/>
    <mergeCell ref="GP39:GZ39"/>
    <mergeCell ref="IC39:IM39"/>
    <mergeCell ref="IP40:IV40"/>
    <mergeCell ref="GC38:GM38"/>
    <mergeCell ref="GP38:GZ38"/>
    <mergeCell ref="HC38:HM38"/>
    <mergeCell ref="HP38:HZ38"/>
    <mergeCell ref="IC38:IM38"/>
    <mergeCell ref="IP38:IV38"/>
    <mergeCell ref="HP39:HZ39"/>
    <mergeCell ref="HC39:HM39"/>
    <mergeCell ref="HC40:HM40"/>
    <mergeCell ref="HP40:HZ40"/>
    <mergeCell ref="IC40:IM40"/>
    <mergeCell ref="EC39:EM39"/>
    <mergeCell ref="GC39:GM39"/>
    <mergeCell ref="BP39:BZ39"/>
    <mergeCell ref="CC39:CM39"/>
    <mergeCell ref="CP39:CZ39"/>
    <mergeCell ref="C45:M45"/>
    <mergeCell ref="C46:M46"/>
    <mergeCell ref="GC40:GM40"/>
    <mergeCell ref="GP40:GZ40"/>
    <mergeCell ref="EC40:EM40"/>
    <mergeCell ref="C44:M44"/>
    <mergeCell ref="C40:M40"/>
    <mergeCell ref="C43:M43"/>
    <mergeCell ref="EP40:EZ40"/>
    <mergeCell ref="P40:Z40"/>
    <mergeCell ref="AC40:AM40"/>
    <mergeCell ref="BC40:BM40"/>
    <mergeCell ref="BP40:BZ40"/>
    <mergeCell ref="FC40:FM40"/>
    <mergeCell ref="FP40:FZ40"/>
    <mergeCell ref="CC40:CM40"/>
    <mergeCell ref="CP40:CZ40"/>
    <mergeCell ref="DC40:DM40"/>
    <mergeCell ref="DP40:D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2012-10-10T15:13:08Z</cp:lastPrinted>
  <dcterms:created xsi:type="dcterms:W3CDTF">1997-12-04T19:04:30Z</dcterms:created>
  <dcterms:modified xsi:type="dcterms:W3CDTF">2012-11-21T15:15:18Z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