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G33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5" i="10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D102" i="2" s="1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G570" i="1" l="1"/>
  <c r="F139" i="1"/>
  <c r="I662" i="1"/>
  <c r="F31" i="13"/>
  <c r="J648" i="1"/>
  <c r="I433" i="1"/>
  <c r="G433" i="1"/>
  <c r="F544" i="1"/>
  <c r="J641" i="1"/>
  <c r="A22" i="12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C28" i="10" s="1"/>
  <c r="F168" i="1"/>
  <c r="F192" i="1" s="1"/>
  <c r="G626" i="1" s="1"/>
  <c r="J626" i="1" s="1"/>
  <c r="J139" i="1"/>
  <c r="D103" i="2"/>
  <c r="J637" i="1"/>
  <c r="J621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D25" i="10"/>
  <c r="D23" i="10"/>
  <c r="C30" i="10"/>
  <c r="D24" i="10"/>
  <c r="D17" i="10"/>
  <c r="E103" i="2"/>
  <c r="D11" i="10"/>
  <c r="D22" i="10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C6" i="10" s="1"/>
  <c r="D15" i="10"/>
  <c r="D27" i="10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D26" i="10" l="1"/>
  <c r="D19" i="10"/>
  <c r="D18" i="10"/>
  <c r="D16" i="10"/>
  <c r="D13" i="10"/>
  <c r="D12" i="10"/>
  <c r="D20" i="10"/>
  <c r="D21" i="10"/>
  <c r="D10" i="10"/>
  <c r="D28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G630" i="1"/>
  <c r="J630" i="1" s="1"/>
  <c r="G645" i="1"/>
  <c r="G625" i="1"/>
  <c r="J51" i="1"/>
  <c r="H620" i="1" s="1"/>
  <c r="J620" i="1" s="1"/>
  <c r="C41" i="10"/>
  <c r="D39" i="10" s="1"/>
  <c r="G636" i="1" l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<sst xmlns="http://schemas.openxmlformats.org/spreadsheetml/2006/main" count="3946" uniqueCount="910">
  <si>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</si>
  <si>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</si>
  <si>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</si>
  <si>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</si>
  <si>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</si>
  <si>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</si>
  <si>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</si>
  <si>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</si>
  <si>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</si>
  <si>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</si>
  <si>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</si>
  <si>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</si>
  <si>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</si>
  <si>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</si>
  <si>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</si>
  <si>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</si>
  <si>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</si>
  <si>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</si>
  <si>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</si>
  <si>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</si>
  <si>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</si>
  <si>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</si>
  <si>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</si>
  <si>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</si>
  <si>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</si>
  <si>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</si>
  <si>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</si>
  <si>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</si>
  <si>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</si>
  <si>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</si>
  <si>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</si>
  <si>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</si>
  <si>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</si>
  <si>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</si>
  <si>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</si>
  <si>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</si>
  <si>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</si>
  <si>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</si>
  <si>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</si>
  <si>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</si>
  <si>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</si>
  <si>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</si>
  <si>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</si>
  <si>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</si>
  <si>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</si>
  <si>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</si>
  <si>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</si>
  <si>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</si>
  <si>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</si>
  <si>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</si>
  <si>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</si>
  <si>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</si>
  <si>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</si>
  <si>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</si>
  <si>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</si>
  <si>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</si>
  <si>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</si>
  <si>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</si>
  <si>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</si>
  <si>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</si>
  <si>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</si>
  <si>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</si>
  <si>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</si>
  <si>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</si>
  <si>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</si>
  <si>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</si>
  <si>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</si>
  <si>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</si>
  <si>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</si>
  <si>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</si>
  <si>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</si>
  <si>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</si>
  <si>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</si>
  <si>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</si>
  <si>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</si>
  <si>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</si>
  <si>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</si>
  <si>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</si>
  <si>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</si>
  <si>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</si>
  <si>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</si>
  <si>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</si>
  <si>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</si>
  <si>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</si>
  <si>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</si>
  <si>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</si>
  <si>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</si>
  <si>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</si>
  <si>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</si>
  <si>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</si>
  <si>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</si>
  <si>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</si>
  <si>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</si>
  <si>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</si>
  <si>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</si>
  <si>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</si>
  <si>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</si>
  <si>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</si>
  <si>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</si>
  <si>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</si>
  <si>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</si>
  <si>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</si>
  <si>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</si>
  <si>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</si>
  <si>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</si>
  <si>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</si>
  <si>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</si>
  <si>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</si>
  <si>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</si>
  <si>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</si>
  <si>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</si>
  <si>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</si>
  <si>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</si>
  <si>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</si>
  <si>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</si>
  <si>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</si>
  <si>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</si>
  <si>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</si>
  <si>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</si>
  <si>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</si>
  <si>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</si>
  <si>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</si>
  <si>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</si>
  <si>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</si>
  <si>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</si>
  <si>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</si>
  <si>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</si>
  <si>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</si>
  <si>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</si>
  <si>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</si>
  <si>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</si>
  <si>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</si>
  <si>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</si>
  <si>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</si>
  <si>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</si>
  <si>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</si>
  <si>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</si>
  <si>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</si>
  <si>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</si>
  <si>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</si>
  <si>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</si>
  <si>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</si>
  <si>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</si>
  <si>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</si>
  <si>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</si>
  <si>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</si>
  <si>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</si>
  <si>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</si>
  <si>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</si>
  <si>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</si>
  <si>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</si>
  <si>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</si>
  <si>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</si>
  <si>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</si>
  <si>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</si>
  <si>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</si>
  <si>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</si>
  <si>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</si>
  <si>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</si>
  <si>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</si>
  <si>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</si>
  <si>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</si>
  <si>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</si>
  <si>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</si>
  <si>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</si>
  <si>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</si>
  <si>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</si>
  <si>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</si>
  <si>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</si>
  <si>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</si>
  <si>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</si>
  <si>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</si>
  <si>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</si>
  <si>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</si>
  <si>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</si>
  <si>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</si>
  <si>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</si>
  <si>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</si>
  <si>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</si>
  <si>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</si>
  <si>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</si>
  <si>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</si>
  <si>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</si>
  <si>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</si>
  <si>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</si>
  <si>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</si>
  <si>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</si>
  <si>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</si>
  <si>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</si>
  <si>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</si>
  <si>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</si>
  <si>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</si>
  <si>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</si>
  <si>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</si>
  <si>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</si>
  <si>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</si>
  <si>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</si>
  <si>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</si>
  <si>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</si>
  <si>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</si>
  <si>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</si>
  <si>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</si>
  <si>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</si>
  <si>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</si>
  <si>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</si>
  <si>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</si>
  <si>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</si>
  <si>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</si>
  <si>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</si>
  <si>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</si>
  <si>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</si>
  <si>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</si>
  <si>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</si>
  <si>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</si>
  <si>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</si>
  <si>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</si>
  <si>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</si>
  <si>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</si>
  <si>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</si>
  <si>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</si>
  <si>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</si>
  <si>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</si>
  <si>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</si>
  <si>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</si>
  <si>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</si>
  <si>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</si>
  <si>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</si>
  <si>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</si>
  <si>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</si>
  <si>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</si>
  <si>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</si>
  <si>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</si>
  <si>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</si>
  <si>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</si>
  <si>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</si>
  <si>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</si>
  <si>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</si>
  <si>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</si>
  <si>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</si>
  <si>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</si>
  <si>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</si>
  <si>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</si>
  <si>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</si>
  <si>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</si>
  <si>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</si>
  <si>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</si>
  <si>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</si>
  <si>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</si>
  <si>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</si>
  <si>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</si>
  <si>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</si>
  <si>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</si>
  <si>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</si>
  <si>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</si>
  <si>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</si>
  <si>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</si>
  <si>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</si>
  <si>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</si>
  <si>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</si>
  <si>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</si>
  <si>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</si>
  <si>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</si>
  <si>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</si>
  <si>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</si>
  <si>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</si>
  <si>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</si>
  <si>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</si>
  <si>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</si>
  <si>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</si>
  <si>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</si>
  <si>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</si>
  <si>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</si>
  <si>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</si>
  <si>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</si>
  <si>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</si>
  <si>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</si>
  <si>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</si>
  <si>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</si>
  <si>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</si>
  <si>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</si>
  <si>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</si>
  <si>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</si>
  <si>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</si>
  <si>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</si>
  <si>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</si>
  <si>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</si>
  <si>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</si>
  <si>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</si>
  <si>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</si>
  <si>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</si>
  <si>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</si>
  <si>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</si>
  <si>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</si>
  <si>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</si>
  <si>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</si>
  <si>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</si>
  <si>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</si>
  <si>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</si>
  <si>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</si>
  <si>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</si>
  <si>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</si>
  <si>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</si>
  <si>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</si>
  <si>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</si>
  <si>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</si>
  <si>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</si>
  <si>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</si>
  <si>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</si>
  <si>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</si>
  <si>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</si>
  <si>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</si>
  <si>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</si>
  <si>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</si>
  <si>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</si>
  <si>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</si>
  <si>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</si>
  <si>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</si>
  <si>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</si>
  <si>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</si>
  <si>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</si>
  <si>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</si>
  <si>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</si>
  <si>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</si>
  <si>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</si>
  <si>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</si>
  <si>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</si>
  <si>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</si>
  <si>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</si>
  <si>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</si>
  <si>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</si>
  <si>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</si>
  <si>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</si>
  <si>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</si>
  <si>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</si>
  <si>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</si>
  <si>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</si>
  <si>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</si>
  <si>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</si>
  <si>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</si>
  <si>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</si>
  <si>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</si>
  <si>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</si>
  <si>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</si>
  <si>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</si>
  <si>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</si>
  <si>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</si>
  <si>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</si>
  <si>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</si>
  <si>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</si>
  <si>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</si>
  <si>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</si>
  <si>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</si>
  <si>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</si>
  <si>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</si>
  <si>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</si>
  <si>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</si>
  <si>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</si>
  <si>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</si>
  <si>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</si>
  <si>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</si>
  <si>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</si>
  <si>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</si>
  <si>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</si>
  <si>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</si>
  <si>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</si>
  <si>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</si>
  <si>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</si>
  <si>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</si>
  <si>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</si>
  <si>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</si>
  <si>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</si>
  <si>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</si>
  <si>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</si>
  <si>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</si>
  <si>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</si>
  <si>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</si>
  <si>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</si>
  <si>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</si>
  <si>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</si>
  <si>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</si>
  <si>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</si>
  <si>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</si>
  <si>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</si>
  <si>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</si>
  <si>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</si>
  <si>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</si>
  <si>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</si>
  <si>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</si>
  <si>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</si>
  <si>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</si>
  <si>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</si>
  <si>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</si>
  <si>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</si>
  <si>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</si>
  <si>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</si>
  <si>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</si>
  <si>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</si>
  <si>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</si>
  <si>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</si>
  <si>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</si>
  <si>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</si>
  <si>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</si>
  <si>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</si>
  <si>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</si>
  <si>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</si>
  <si>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</si>
  <si>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</si>
  <si>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</si>
  <si>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</si>
  <si>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</si>
  <si>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</si>
  <si>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</si>
  <si>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</si>
  <si>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</si>
  <si>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</si>
  <si>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</si>
  <si>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</si>
  <si>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</si>
  <si>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</si>
  <si>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</si>
  <si>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</si>
  <si>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</si>
  <si>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</si>
  <si>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</si>
  <si>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</si>
  <si>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</si>
  <si>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</si>
  <si>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</si>
  <si>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</si>
  <si>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</si>
  <si>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</si>
  <si>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</si>
  <si>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</si>
  <si>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</si>
  <si>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</si>
  <si>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</si>
  <si>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</si>
  <si>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</si>
  <si>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</si>
  <si>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</si>
  <si>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</si>
  <si>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</si>
  <si>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</si>
  <si>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</si>
  <si>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</si>
  <si>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</si>
  <si>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</si>
  <si>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</si>
  <si>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</si>
  <si>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</si>
  <si>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</si>
  <si>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</si>
  <si>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</si>
  <si>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</si>
  <si>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</si>
  <si>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</si>
  <si>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</si>
  <si>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</si>
  <si>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</si>
  <si>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</si>
  <si>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</si>
  <si>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</si>
  <si>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</si>
  <si>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</si>
  <si>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</si>
  <si>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</si>
  <si>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</si>
  <si>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</si>
  <si>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</si>
  <si>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</si>
  <si>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</si>
  <si>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</si>
  <si>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</si>
  <si>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</si>
  <si>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</si>
  <si>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</si>
  <si>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</si>
  <si>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</si>
  <si>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</si>
  <si>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</si>
  <si>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</si>
  <si>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</si>
  <si>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</si>
  <si>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</si>
  <si>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</si>
  <si>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</si>
  <si>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</si>
  <si>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</si>
  <si>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</si>
  <si>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</si>
  <si>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</si>
  <si>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</si>
  <si>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</si>
  <si>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</si>
  <si>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</si>
  <si>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</si>
  <si>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</si>
  <si>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</si>
  <si>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</si>
  <si>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</si>
  <si>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</si>
  <si>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</si>
  <si>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</si>
  <si>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</si>
  <si>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</si>
  <si>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</si>
  <si>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</si>
  <si>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</si>
  <si>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</si>
  <si>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</si>
  <si>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</si>
  <si>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</si>
  <si>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</si>
  <si>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</si>
  <si>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</si>
  <si>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</si>
  <si>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</si>
  <si>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</si>
  <si>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</si>
  <si>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</si>
  <si>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</si>
  <si>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</si>
  <si>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</si>
  <si>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</si>
  <si>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</si>
  <si>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</si>
  <si>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</si>
  <si>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</si>
  <si>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</si>
  <si>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</si>
  <si>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</si>
  <si>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</si>
  <si>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</si>
  <si>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</si>
  <si>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</si>
  <si>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</si>
  <si>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</si>
  <si>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</si>
  <si>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</si>
  <si>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</si>
  <si>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</si>
  <si>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</si>
  <si>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</si>
  <si>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</si>
  <si>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</si>
  <si>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</si>
  <si>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</si>
  <si>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</si>
  <si>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</si>
  <si>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</si>
  <si>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</si>
  <si>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</si>
  <si>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</si>
  <si>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</si>
  <si>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</si>
  <si>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</si>
  <si>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</si>
  <si>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</si>
  <si>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</si>
  <si>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</si>
  <si>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</si>
  <si>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</si>
  <si>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</si>
  <si>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</si>
  <si>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</si>
  <si>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</si>
  <si>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</si>
  <si>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</si>
  <si>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</si>
  <si>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</si>
  <si>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</si>
  <si>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</si>
  <si>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</si>
  <si>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</si>
  <si>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</si>
  <si>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</si>
  <si>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</si>
  <si>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</si>
  <si>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</si>
  <si>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</si>
  <si>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</si>
  <si>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</si>
  <si>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</si>
  <si>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</si>
  <si>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</si>
  <si>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</si>
  <si>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</si>
  <si>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</si>
  <si>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</si>
  <si>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</si>
  <si>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</si>
  <si>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</si>
  <si>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</si>
  <si>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</si>
  <si>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</si>
  <si>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</si>
  <si>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</si>
  <si>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</si>
  <si>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</si>
  <si>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</si>
  <si>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</si>
  <si>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</si>
  <si>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</si>
  <si>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</si>
  <si>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</si>
  <si>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</si>
  <si>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</si>
  <si>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</si>
  <si>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</si>
  <si>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</si>
  <si>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</si>
  <si>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</si>
  <si>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</si>
  <si>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</si>
  <si>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</si>
  <si>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</si>
  <si>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</si>
  <si>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</si>
  <si>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</si>
  <si>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</si>
  <si>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</si>
  <si>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</si>
  <si>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</si>
  <si>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</si>
  <si>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</si>
  <si>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</si>
  <si>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</si>
  <si>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</si>
  <si>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</si>
  <si>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</si>
  <si>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</si>
  <si>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</si>
  <si>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</si>
  <si>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</si>
  <si>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</si>
  <si>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</si>
  <si>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</si>
  <si>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</si>
  <si>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</si>
  <si>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</si>
  <si>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</si>
  <si>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</si>
  <si>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</si>
  <si>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</si>
  <si>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</si>
  <si>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</si>
  <si>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</si>
  <si>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</si>
  <si>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</si>
  <si>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</si>
  <si>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</si>
  <si>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</si>
  <si>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</si>
  <si>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</si>
  <si>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</si>
  <si>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</si>
  <si>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</si>
  <si>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</si>
  <si>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</si>
  <si>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</si>
  <si>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</si>
  <si>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</si>
  <si>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</si>
  <si>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</si>
  <si>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</si>
  <si>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</si>
  <si>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</si>
  <si>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</si>
  <si>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</si>
  <si>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</si>
  <si>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</si>
  <si>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</si>
  <si>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</si>
  <si>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</si>
  <si>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</si>
  <si>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</si>
  <si>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</si>
  <si>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</si>
  <si>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</si>
  <si>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</si>
  <si>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</si>
  <si>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</si>
  <si>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</si>
  <si>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</si>
  <si>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</si>
  <si>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</si>
  <si>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</si>
  <si>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</si>
  <si>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</si>
  <si>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</si>
  <si>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</si>
  <si>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</si>
  <si>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</si>
  <si>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</si>
  <si>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</si>
  <si>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</si>
  <si>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</si>
  <si>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</si>
  <si>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</si>
  <si>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</si>
  <si>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</si>
  <si>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</si>
  <si>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</si>
  <si>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</si>
  <si>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</si>
  <si>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</si>
  <si>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</si>
  <si>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</si>
  <si>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</si>
  <si>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</si>
  <si>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</si>
  <si>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</si>
  <si>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</si>
  <si>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</si>
  <si>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</si>
  <si>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</si>
  <si>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</si>
  <si>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</si>
  <si>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</si>
  <si>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</si>
  <si>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</si>
  <si>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</si>
  <si>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</si>
  <si>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</si>
  <si>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</si>
  <si>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</si>
  <si>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</si>
  <si>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</si>
  <si>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</si>
  <si>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</si>
  <si>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</si>
  <si>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</si>
  <si>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</si>
  <si>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</si>
  <si>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</si>
  <si>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</si>
  <si>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</si>
  <si>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</si>
  <si>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</si>
  <si>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</si>
  <si>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</si>
  <si>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</si>
  <si>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</si>
  <si>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</si>
  <si>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</si>
  <si>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</si>
  <si>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</si>
  <si>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</si>
  <si>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</si>
  <si>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</si>
  <si>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</si>
  <si>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</si>
  <si>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</si>
  <si>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</si>
  <si>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</si>
  <si>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</si>
  <si>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</si>
  <si>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</si>
  <si>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</si>
  <si>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</si>
  <si>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</si>
  <si>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</si>
  <si>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</si>
  <si>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</si>
  <si>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</si>
  <si>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</si>
  <si>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</si>
  <si>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</si>
  <si>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</si>
  <si>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</si>
  <si>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</si>
  <si>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</si>
  <si>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</si>
  <si>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</si>
  <si>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</si>
  <si>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</si>
  <si>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</si>
  <si>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</si>
  <si>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</si>
  <si>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</si>
  <si>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</si>
  <si>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</si>
  <si>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</si>
  <si>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</si>
  <si>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</si>
  <si>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</si>
  <si>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</si>
  <si>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</si>
  <si>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</si>
  <si>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</si>
  <si>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</si>
  <si>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</si>
  <si>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</si>
  <si>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</si>
  <si>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</si>
  <si>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</si>
  <si>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</si>
  <si>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</si>
  <si>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</si>
  <si>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</si>
  <si>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</si>
  <si>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</si>
  <si>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</si>
  <si>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</si>
  <si>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</si>
  <si>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</si>
  <si>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</si>
  <si>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</si>
  <si>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</si>
  <si>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</si>
  <si>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</si>
  <si>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</si>
  <si>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</si>
  <si>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</si>
  <si>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</si>
  <si>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</si>
  <si>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</si>
  <si>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</si>
  <si>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</si>
  <si>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</si>
  <si>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</si>
  <si>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</si>
  <si>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</si>
  <si>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</si>
  <si>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</si>
  <si>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</si>
  <si>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</si>
  <si>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</si>
  <si>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</si>
  <si>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</si>
  <si>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</si>
  <si>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</si>
  <si>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</si>
  <si>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</si>
  <si>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</si>
  <si>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</si>
  <si>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</si>
  <si>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</si>
  <si>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</si>
  <si>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</si>
  <si>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</si>
  <si>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</si>
  <si>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</si>
  <si>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</si>
  <si>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</si>
  <si>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</si>
  <si>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</si>
  <si>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</si>
  <si>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</si>
  <si>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</si>
  <si>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</si>
  <si>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</si>
  <si>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</si>
  <si>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</si>
  <si>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</si>
  <si>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</si>
  <si>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</si>
  <si>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</si>
  <si>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</si>
  <si>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</si>
  <si>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</si>
  <si>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</si>
  <si>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</si>
  <si>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</si>
  <si>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</si>
  <si>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</si>
  <si>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</si>
  <si>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</si>
  <si>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</si>
  <si>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</si>
  <si>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</si>
  <si>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</si>
  <si>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</si>
  <si>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</si>
  <si>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</si>
  <si>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</si>
  <si>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</si>
  <si>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</si>
  <si>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</si>
  <si>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</si>
  <si>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</si>
  <si>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</si>
  <si>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</si>
  <si>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</si>
  <si>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</si>
  <si>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</si>
  <si>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</si>
  <si>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</si>
  <si>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</si>
  <si>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</si>
  <si>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</si>
  <si>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</si>
  <si>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</si>
  <si>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</si>
  <si>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</si>
  <si>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</si>
  <si>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</si>
  <si>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</si>
  <si>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</si>
  <si>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</si>
  <si>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</si>
  <si>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</si>
  <si>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</si>
  <si>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</si>
  <si>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</si>
  <si>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</si>
  <si>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</si>
  <si>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</si>
  <si>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</si>
  <si>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PEMI-BAKER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</si>
</sst>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64" sqref="H664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428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742915.25</v>
      </c>
      <c r="G9" s="18">
        <v>-26492.06</v>
      </c>
      <c r="H9" s="18">
        <v>-28087.32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3307.81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140824.06</v>
      </c>
      <c r="G13" s="18">
        <v>19151.939999999999</v>
      </c>
      <c r="H13" s="18">
        <v>30283.4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6097.34</v>
      </c>
      <c r="G14" s="18">
        <v>11828.5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889836.65</v>
      </c>
      <c r="G19" s="41">
        <f>SUM(G9:G18)</f>
        <v>4488.3799999999974</v>
      </c>
      <c r="H19" s="41">
        <f>SUM(H9:H18)</f>
        <v>2196.0800000000017</v>
      </c>
      <c r="I19" s="41">
        <f>SUM(I9:I18)</f>
        <v>0</v>
      </c>
      <c r="J19" s="41">
        <f>SUM(J9:J18)</f>
        <v>3307.81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106931.21</v>
      </c>
      <c r="G24" s="18"/>
      <c r="H24" s="18">
        <v>505.6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45497</v>
      </c>
      <c r="G25" s="145"/>
      <c r="H25" s="18">
        <v>1690.48</v>
      </c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152428.21000000002</v>
      </c>
      <c r="G32" s="41">
        <f>SUM(G22:G31)</f>
        <v>0</v>
      </c>
      <c r="H32" s="41">
        <f>SUM(H22:H31)</f>
        <v>2196.08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 t="s">
        <v>287</v>
      </c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4488.38</v>
      </c>
      <c r="H47" s="18"/>
      <c r="I47" s="18"/>
      <c r="J47" s="13">
        <f>SUM(I458)</f>
        <v>3307.81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529874.4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207534.04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737408.44000000006</v>
      </c>
      <c r="G50" s="41">
        <f>SUM(G35:G49)</f>
        <v>4488.38</v>
      </c>
      <c r="H50" s="41">
        <f>SUM(H35:H49)</f>
        <v>0</v>
      </c>
      <c r="I50" s="41">
        <f>SUM(I35:I49)</f>
        <v>0</v>
      </c>
      <c r="J50" s="41">
        <f>SUM(J35:J49)</f>
        <v>3307.81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889836.65000000014</v>
      </c>
      <c r="G51" s="41">
        <f>G50+G32</f>
        <v>4488.38</v>
      </c>
      <c r="H51" s="41">
        <f>H50+H32</f>
        <v>2196.08</v>
      </c>
      <c r="I51" s="41">
        <f>I50+I32</f>
        <v>0</v>
      </c>
      <c r="J51" s="41">
        <f>J50+J32</f>
        <v>3307.81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6466100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6466100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8968.9599999999991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93697.05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32008.75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134674.76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2663.35</v>
      </c>
      <c r="G95" s="18"/>
      <c r="H95" s="18"/>
      <c r="I95" s="18"/>
      <c r="J95" s="18">
        <v>1.94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227953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30000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311634.44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344297.79</v>
      </c>
      <c r="G110" s="41">
        <f>SUM(G95:G109)</f>
        <v>227953</v>
      </c>
      <c r="H110" s="41">
        <f>SUM(H95:H109)</f>
        <v>0</v>
      </c>
      <c r="I110" s="41">
        <f>SUM(I95:I109)</f>
        <v>0</v>
      </c>
      <c r="J110" s="41">
        <f>SUM(J95:J109)</f>
        <v>1.94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6945072.5499999998</v>
      </c>
      <c r="G111" s="41">
        <f>G59+G110</f>
        <v>227953</v>
      </c>
      <c r="H111" s="41">
        <f>H59+H78+H93+H110</f>
        <v>0</v>
      </c>
      <c r="I111" s="41">
        <f>I59+I110</f>
        <v>0</v>
      </c>
      <c r="J111" s="41">
        <f>J59+J110</f>
        <v>1.94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2713500.92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1905296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2351.08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4621148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85295.76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41823.56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2782.19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127119.31999999999</v>
      </c>
      <c r="G135" s="41">
        <f>SUM(G122:G134)</f>
        <v>2782.19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4748267.32</v>
      </c>
      <c r="G139" s="41">
        <f>G120+SUM(G135:G136)</f>
        <v>2782.19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67570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2344.98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156931.68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90950.86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8572.5400000000009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124368.41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23576.89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91146.89</v>
      </c>
      <c r="G161" s="41">
        <f>SUM(G149:G160)</f>
        <v>124368.41</v>
      </c>
      <c r="H161" s="41">
        <f>SUM(H149:H160)</f>
        <v>258800.06000000003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91146.89</v>
      </c>
      <c r="G168" s="41">
        <f>G146+G161+SUM(G162:G167)</f>
        <v>124368.41</v>
      </c>
      <c r="H168" s="41">
        <f>H146+H161+SUM(H162:H167)</f>
        <v>258800.06000000003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11784486.760000002</v>
      </c>
      <c r="G192" s="47">
        <f>G111+G139+G168+G191</f>
        <v>355103.6</v>
      </c>
      <c r="H192" s="47">
        <f>H111+H139+H168+H191</f>
        <v>258800.06000000003</v>
      </c>
      <c r="I192" s="47">
        <f>I111+I139+I168+I191</f>
        <v>0</v>
      </c>
      <c r="J192" s="47">
        <f>J111+J139+J191</f>
        <v>1.94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3009582.57</v>
      </c>
      <c r="G232" s="18">
        <v>1489963.22</v>
      </c>
      <c r="H232" s="18">
        <v>134325.54</v>
      </c>
      <c r="I232" s="18">
        <v>159929.01999999999</v>
      </c>
      <c r="J232" s="18">
        <v>125197.38</v>
      </c>
      <c r="K232" s="18">
        <v>634</v>
      </c>
      <c r="L232" s="19">
        <f>SUM(F232:K232)</f>
        <v>4919631.7299999995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779632.68</v>
      </c>
      <c r="G233" s="18">
        <v>417220.75</v>
      </c>
      <c r="H233" s="18">
        <v>294662.31</v>
      </c>
      <c r="I233" s="18">
        <v>11420.17</v>
      </c>
      <c r="J233" s="18"/>
      <c r="K233" s="18">
        <v>89</v>
      </c>
      <c r="L233" s="19">
        <f>SUM(F233:K233)</f>
        <v>1503024.9100000001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320108.13</v>
      </c>
      <c r="G234" s="18">
        <v>142944.54999999999</v>
      </c>
      <c r="H234" s="18">
        <v>8585.36</v>
      </c>
      <c r="I234" s="18">
        <v>31933.919999999998</v>
      </c>
      <c r="J234" s="18">
        <v>8514.17</v>
      </c>
      <c r="K234" s="18">
        <v>1274</v>
      </c>
      <c r="L234" s="19">
        <f>SUM(F234:K234)</f>
        <v>513360.12999999995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243510.12</v>
      </c>
      <c r="G235" s="18">
        <v>36518.879999999997</v>
      </c>
      <c r="H235" s="18">
        <v>97263.97</v>
      </c>
      <c r="I235" s="18">
        <v>63007.18</v>
      </c>
      <c r="J235" s="18">
        <v>41665.9</v>
      </c>
      <c r="K235" s="18">
        <v>8180</v>
      </c>
      <c r="L235" s="19">
        <f>SUM(F235:K235)</f>
        <v>490146.05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575093.11</v>
      </c>
      <c r="G237" s="18">
        <v>269682.25</v>
      </c>
      <c r="H237" s="18">
        <v>109259.49</v>
      </c>
      <c r="I237" s="18">
        <v>6341.5</v>
      </c>
      <c r="J237" s="18">
        <v>1496</v>
      </c>
      <c r="K237" s="18">
        <v>1139</v>
      </c>
      <c r="L237" s="19">
        <f t="shared" ref="L237:L243" si="4">SUM(F237:K237)</f>
        <v>963011.35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149659.12</v>
      </c>
      <c r="G238" s="18">
        <v>145002</v>
      </c>
      <c r="H238" s="18">
        <v>2763.26</v>
      </c>
      <c r="I238" s="18">
        <v>32641.82</v>
      </c>
      <c r="J238" s="18">
        <v>4128.17</v>
      </c>
      <c r="K238" s="18"/>
      <c r="L238" s="19">
        <f t="shared" si="4"/>
        <v>334194.37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254424.72</v>
      </c>
      <c r="G239" s="18">
        <v>121437.41</v>
      </c>
      <c r="H239" s="18">
        <v>441733.48</v>
      </c>
      <c r="I239" s="18">
        <v>5087.46</v>
      </c>
      <c r="J239" s="18"/>
      <c r="K239" s="18">
        <v>8443.2800000000007</v>
      </c>
      <c r="L239" s="19">
        <f t="shared" si="4"/>
        <v>831126.35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315663.90000000002</v>
      </c>
      <c r="G240" s="18">
        <v>167818.82</v>
      </c>
      <c r="H240" s="18">
        <v>13323.18</v>
      </c>
      <c r="I240" s="18">
        <v>3193.17</v>
      </c>
      <c r="J240" s="18"/>
      <c r="K240" s="18">
        <v>13599.1</v>
      </c>
      <c r="L240" s="19">
        <f t="shared" si="4"/>
        <v>513598.17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>
        <v>973.92</v>
      </c>
      <c r="I241" s="18"/>
      <c r="J241" s="18"/>
      <c r="K241" s="18"/>
      <c r="L241" s="19">
        <f t="shared" si="4"/>
        <v>973.92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410048.5</v>
      </c>
      <c r="G242" s="18">
        <v>147089.45000000001</v>
      </c>
      <c r="H242" s="18">
        <v>347860.13</v>
      </c>
      <c r="I242" s="18">
        <v>464957.48</v>
      </c>
      <c r="J242" s="18">
        <v>20723.759999999998</v>
      </c>
      <c r="K242" s="18"/>
      <c r="L242" s="19">
        <f t="shared" si="4"/>
        <v>1390679.32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402150.87</v>
      </c>
      <c r="I243" s="18">
        <v>1304.27</v>
      </c>
      <c r="J243" s="18"/>
      <c r="K243" s="18"/>
      <c r="L243" s="19">
        <f t="shared" si="4"/>
        <v>403455.14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6057722.8500000006</v>
      </c>
      <c r="G246" s="41">
        <f t="shared" si="5"/>
        <v>2937677.33</v>
      </c>
      <c r="H246" s="41">
        <f t="shared" si="5"/>
        <v>1852901.5099999998</v>
      </c>
      <c r="I246" s="41">
        <f t="shared" si="5"/>
        <v>779815.99</v>
      </c>
      <c r="J246" s="41">
        <f t="shared" si="5"/>
        <v>201725.38000000003</v>
      </c>
      <c r="K246" s="41">
        <f t="shared" si="5"/>
        <v>33358.379999999997</v>
      </c>
      <c r="L246" s="41">
        <f t="shared" si="5"/>
        <v>11863201.439999999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285472.03999999998</v>
      </c>
      <c r="I254" s="18"/>
      <c r="J254" s="18"/>
      <c r="K254" s="18"/>
      <c r="L254" s="19">
        <f t="shared" si="6"/>
        <v>285472.03999999998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285472.03999999998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285472.03999999998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6057722.8500000006</v>
      </c>
      <c r="G256" s="41">
        <f t="shared" si="8"/>
        <v>2937677.33</v>
      </c>
      <c r="H256" s="41">
        <f t="shared" si="8"/>
        <v>2138373.5499999998</v>
      </c>
      <c r="I256" s="41">
        <f t="shared" si="8"/>
        <v>779815.99</v>
      </c>
      <c r="J256" s="41">
        <f t="shared" si="8"/>
        <v>201725.38000000003</v>
      </c>
      <c r="K256" s="41">
        <f t="shared" si="8"/>
        <v>33358.379999999997</v>
      </c>
      <c r="L256" s="41">
        <f t="shared" si="8"/>
        <v>12148673.479999999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6057722.8500000006</v>
      </c>
      <c r="G270" s="42">
        <f t="shared" si="11"/>
        <v>2937677.33</v>
      </c>
      <c r="H270" s="42">
        <f t="shared" si="11"/>
        <v>2138373.5499999998</v>
      </c>
      <c r="I270" s="42">
        <f t="shared" si="11"/>
        <v>779815.99</v>
      </c>
      <c r="J270" s="42">
        <f t="shared" si="11"/>
        <v>201725.38000000003</v>
      </c>
      <c r="K270" s="42">
        <f t="shared" si="11"/>
        <v>33358.379999999997</v>
      </c>
      <c r="L270" s="42">
        <f t="shared" si="11"/>
        <v>12148673.479999999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108509.97</v>
      </c>
      <c r="G313" s="18">
        <v>367.61</v>
      </c>
      <c r="H313" s="18"/>
      <c r="I313" s="18">
        <v>420</v>
      </c>
      <c r="J313" s="18">
        <v>16770.18</v>
      </c>
      <c r="K313" s="18">
        <v>477.5</v>
      </c>
      <c r="L313" s="19">
        <f>SUM(F313:K313)</f>
        <v>126545.26000000001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>
        <v>1723.19</v>
      </c>
      <c r="J314" s="18">
        <v>2202.4</v>
      </c>
      <c r="K314" s="18"/>
      <c r="L314" s="19">
        <f>SUM(F314:K314)</f>
        <v>3925.59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48505</v>
      </c>
      <c r="G315" s="18">
        <v>21149.51</v>
      </c>
      <c r="H315" s="18" t="s">
        <v>287</v>
      </c>
      <c r="I315" s="18">
        <v>109.5</v>
      </c>
      <c r="J315" s="18">
        <v>15895</v>
      </c>
      <c r="K315" s="18">
        <v>1388</v>
      </c>
      <c r="L315" s="19">
        <f>SUM(F315:K315)</f>
        <v>87047.01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23647.46</v>
      </c>
      <c r="G319" s="18">
        <v>7520.2</v>
      </c>
      <c r="H319" s="18">
        <v>1841.45</v>
      </c>
      <c r="I319" s="18"/>
      <c r="J319" s="18"/>
      <c r="K319" s="18"/>
      <c r="L319" s="19">
        <f t="shared" si="16"/>
        <v>33009.11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3928.5</v>
      </c>
      <c r="G320" s="18">
        <v>290.54000000000002</v>
      </c>
      <c r="H320" s="18">
        <v>256.10000000000002</v>
      </c>
      <c r="I320" s="18" t="s">
        <v>287</v>
      </c>
      <c r="J320" s="18"/>
      <c r="K320" s="18"/>
      <c r="L320" s="19">
        <f t="shared" si="16"/>
        <v>4475.1400000000003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v>3797.95</v>
      </c>
      <c r="L322" s="19">
        <f t="shared" si="16"/>
        <v>3797.95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184590.93</v>
      </c>
      <c r="G327" s="42">
        <f t="shared" si="17"/>
        <v>29327.86</v>
      </c>
      <c r="H327" s="42">
        <f t="shared" si="17"/>
        <v>2097.5500000000002</v>
      </c>
      <c r="I327" s="42">
        <f t="shared" si="17"/>
        <v>2252.69</v>
      </c>
      <c r="J327" s="42">
        <f t="shared" si="17"/>
        <v>34867.58</v>
      </c>
      <c r="K327" s="42">
        <f t="shared" si="17"/>
        <v>5663.45</v>
      </c>
      <c r="L327" s="41">
        <f t="shared" si="17"/>
        <v>258800.06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184590.93</v>
      </c>
      <c r="G337" s="41">
        <f t="shared" si="20"/>
        <v>29327.86</v>
      </c>
      <c r="H337" s="41">
        <f t="shared" si="20"/>
        <v>2097.5500000000002</v>
      </c>
      <c r="I337" s="41">
        <f t="shared" si="20"/>
        <v>2252.69</v>
      </c>
      <c r="J337" s="41">
        <f t="shared" si="20"/>
        <v>34867.58</v>
      </c>
      <c r="K337" s="41">
        <f t="shared" si="20"/>
        <v>5663.45</v>
      </c>
      <c r="L337" s="41">
        <f t="shared" si="20"/>
        <v>258800.06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184590.93</v>
      </c>
      <c r="G351" s="41">
        <f>G337</f>
        <v>29327.86</v>
      </c>
      <c r="H351" s="41">
        <f>H337</f>
        <v>2097.5500000000002</v>
      </c>
      <c r="I351" s="41">
        <f>I337</f>
        <v>2252.69</v>
      </c>
      <c r="J351" s="41">
        <f>J337</f>
        <v>34867.58</v>
      </c>
      <c r="K351" s="47">
        <f>K337+K350</f>
        <v>5663.45</v>
      </c>
      <c r="L351" s="41">
        <f>L337+L350</f>
        <v>258800.06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353532</v>
      </c>
      <c r="I359" s="18"/>
      <c r="J359" s="18"/>
      <c r="K359" s="18"/>
      <c r="L359" s="19">
        <f>SUM(F359:K359)</f>
        <v>353532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353532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353532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0.85</v>
      </c>
      <c r="I388" s="18"/>
      <c r="J388" s="24" t="s">
        <v>289</v>
      </c>
      <c r="K388" s="24" t="s">
        <v>289</v>
      </c>
      <c r="L388" s="56">
        <f t="shared" si="25"/>
        <v>0.85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0.85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0.85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1.0900000000000001</v>
      </c>
      <c r="I396" s="18"/>
      <c r="J396" s="24" t="s">
        <v>289</v>
      </c>
      <c r="K396" s="24" t="s">
        <v>289</v>
      </c>
      <c r="L396" s="56">
        <f t="shared" si="26"/>
        <v>1.0900000000000001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1.0900000000000001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1.0900000000000001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1.94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1.94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3307.81</v>
      </c>
      <c r="G439" s="18"/>
      <c r="H439" s="18"/>
      <c r="I439" s="56">
        <f t="shared" si="33"/>
        <v>3307.81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3307.81</v>
      </c>
      <c r="G445" s="13">
        <f>SUM(G438:G444)</f>
        <v>0</v>
      </c>
      <c r="H445" s="13">
        <f>SUM(H438:H444)</f>
        <v>0</v>
      </c>
      <c r="I445" s="13">
        <f>SUM(I438:I444)</f>
        <v>3307.81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3307.81</v>
      </c>
      <c r="G458" s="18"/>
      <c r="H458" s="18"/>
      <c r="I458" s="56">
        <f t="shared" si="34"/>
        <v>3307.81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3307.81</v>
      </c>
      <c r="G459" s="83">
        <f>SUM(G453:G458)</f>
        <v>0</v>
      </c>
      <c r="H459" s="83">
        <f>SUM(H453:H458)</f>
        <v>0</v>
      </c>
      <c r="I459" s="83">
        <f>SUM(I453:I458)</f>
        <v>3307.81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3307.81</v>
      </c>
      <c r="G460" s="42">
        <f>G451+G459</f>
        <v>0</v>
      </c>
      <c r="H460" s="42">
        <f>H451+H459</f>
        <v>0</v>
      </c>
      <c r="I460" s="42">
        <f>I451+I459</f>
        <v>3307.81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1101595.1599999999</v>
      </c>
      <c r="G464" s="18">
        <v>2916.78</v>
      </c>
      <c r="H464" s="18">
        <v>0</v>
      </c>
      <c r="I464" s="18"/>
      <c r="J464" s="18">
        <v>3305.87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11784486.76</v>
      </c>
      <c r="G467" s="18">
        <v>355103.6</v>
      </c>
      <c r="H467" s="18">
        <v>258800.06</v>
      </c>
      <c r="I467" s="18"/>
      <c r="J467" s="18">
        <v>1.94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11784486.76</v>
      </c>
      <c r="G469" s="53">
        <f>SUM(G467:G468)</f>
        <v>355103.6</v>
      </c>
      <c r="H469" s="53">
        <f>SUM(H467:H468)</f>
        <v>258800.06</v>
      </c>
      <c r="I469" s="53">
        <f>SUM(I467:I468)</f>
        <v>0</v>
      </c>
      <c r="J469" s="53">
        <f>SUM(J467:J468)</f>
        <v>1.94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12148673.48</v>
      </c>
      <c r="G471" s="18">
        <v>353532</v>
      </c>
      <c r="H471" s="18">
        <v>258800.06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12148673.48</v>
      </c>
      <c r="G473" s="53">
        <f>SUM(G471:G472)</f>
        <v>353532</v>
      </c>
      <c r="H473" s="53">
        <f>SUM(H471:H472)</f>
        <v>258800.06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737408.43999999948</v>
      </c>
      <c r="G475" s="53">
        <f>(G464+G469)- G473</f>
        <v>4488.3800000000047</v>
      </c>
      <c r="H475" s="53">
        <f>(H464+H469)- H473</f>
        <v>0</v>
      </c>
      <c r="I475" s="53">
        <f>(I464+I469)- I473</f>
        <v>0</v>
      </c>
      <c r="J475" s="53">
        <f>(J464+J469)- J473</f>
        <v>3307.81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651886.68000000005</v>
      </c>
      <c r="G522" s="18">
        <v>354752.69</v>
      </c>
      <c r="H522" s="18">
        <v>294662.31</v>
      </c>
      <c r="I522" s="18">
        <v>13143.36</v>
      </c>
      <c r="J522" s="18">
        <v>2202.4</v>
      </c>
      <c r="K522" s="18">
        <v>89</v>
      </c>
      <c r="L522" s="88">
        <f>SUM(F522:K522)</f>
        <v>1316736.4400000002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651886.68000000005</v>
      </c>
      <c r="G523" s="108">
        <f t="shared" ref="G523:L523" si="36">SUM(G520:G522)</f>
        <v>354752.69</v>
      </c>
      <c r="H523" s="108">
        <f t="shared" si="36"/>
        <v>294662.31</v>
      </c>
      <c r="I523" s="108">
        <f t="shared" si="36"/>
        <v>13143.36</v>
      </c>
      <c r="J523" s="108">
        <f t="shared" si="36"/>
        <v>2202.4</v>
      </c>
      <c r="K523" s="108">
        <f t="shared" si="36"/>
        <v>89</v>
      </c>
      <c r="L523" s="89">
        <f t="shared" si="36"/>
        <v>1316736.4400000002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183523.31</v>
      </c>
      <c r="G527" s="18">
        <v>77835.73</v>
      </c>
      <c r="H527" s="18">
        <v>30177.5</v>
      </c>
      <c r="I527" s="18">
        <v>717.95</v>
      </c>
      <c r="J527" s="18"/>
      <c r="K527" s="18">
        <v>654</v>
      </c>
      <c r="L527" s="88">
        <f>SUM(F527:K527)</f>
        <v>292908.49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183523.31</v>
      </c>
      <c r="G528" s="89">
        <f t="shared" ref="G528:L528" si="37">SUM(G525:G527)</f>
        <v>77835.73</v>
      </c>
      <c r="H528" s="89">
        <f t="shared" si="37"/>
        <v>30177.5</v>
      </c>
      <c r="I528" s="89">
        <f t="shared" si="37"/>
        <v>717.95</v>
      </c>
      <c r="J528" s="89">
        <f t="shared" si="37"/>
        <v>0</v>
      </c>
      <c r="K528" s="89">
        <f t="shared" si="37"/>
        <v>654</v>
      </c>
      <c r="L528" s="89">
        <f t="shared" si="37"/>
        <v>292908.49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160974.47</v>
      </c>
      <c r="G532" s="18">
        <v>74776.600000000006</v>
      </c>
      <c r="H532" s="18">
        <v>577.55999999999995</v>
      </c>
      <c r="I532" s="18"/>
      <c r="J532" s="18"/>
      <c r="K532" s="18"/>
      <c r="L532" s="88">
        <f>SUM(F532:K532)</f>
        <v>236328.63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160974.47</v>
      </c>
      <c r="G533" s="89">
        <f t="shared" ref="G533:L533" si="38">SUM(G530:G532)</f>
        <v>74776.600000000006</v>
      </c>
      <c r="H533" s="89">
        <f t="shared" si="38"/>
        <v>577.55999999999995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236328.63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1250.5</v>
      </c>
      <c r="I537" s="18"/>
      <c r="J537" s="18"/>
      <c r="K537" s="18"/>
      <c r="L537" s="88">
        <f>SUM(F537:K537)</f>
        <v>1250.5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1250.5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1250.5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45084.959999999999</v>
      </c>
      <c r="I542" s="18"/>
      <c r="J542" s="18"/>
      <c r="K542" s="18"/>
      <c r="L542" s="88">
        <f>SUM(F542:K542)</f>
        <v>45084.959999999999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45084.959999999999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45084.959999999999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996384.46</v>
      </c>
      <c r="G544" s="89">
        <f t="shared" ref="G544:L544" si="41">G523+G528+G533+G538+G543</f>
        <v>507365.02</v>
      </c>
      <c r="H544" s="89">
        <f t="shared" si="41"/>
        <v>371752.83</v>
      </c>
      <c r="I544" s="89">
        <f t="shared" si="41"/>
        <v>13861.310000000001</v>
      </c>
      <c r="J544" s="89">
        <f t="shared" si="41"/>
        <v>2202.4</v>
      </c>
      <c r="K544" s="89">
        <f t="shared" si="41"/>
        <v>743</v>
      </c>
      <c r="L544" s="89">
        <f t="shared" si="41"/>
        <v>1892309.02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1316736.4400000002</v>
      </c>
      <c r="G550" s="87">
        <f>L527</f>
        <v>292908.49</v>
      </c>
      <c r="H550" s="87">
        <f>L532</f>
        <v>236328.63</v>
      </c>
      <c r="I550" s="87">
        <f>L537</f>
        <v>1250.5</v>
      </c>
      <c r="J550" s="87">
        <f>L542</f>
        <v>45084.959999999999</v>
      </c>
      <c r="K550" s="87">
        <f>SUM(F550:J550)</f>
        <v>1892309.02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1316736.4400000002</v>
      </c>
      <c r="G551" s="89">
        <f t="shared" si="42"/>
        <v>292908.49</v>
      </c>
      <c r="H551" s="89">
        <f t="shared" si="42"/>
        <v>236328.63</v>
      </c>
      <c r="I551" s="89">
        <f t="shared" si="42"/>
        <v>1250.5</v>
      </c>
      <c r="J551" s="89">
        <f t="shared" si="42"/>
        <v>45084.959999999999</v>
      </c>
      <c r="K551" s="89">
        <f t="shared" si="42"/>
        <v>1892309.02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276513.18</v>
      </c>
      <c r="I581" s="87">
        <f t="shared" si="47"/>
        <v>276513.18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>
        <v>274058.88</v>
      </c>
      <c r="K590" s="104">
        <f t="shared" ref="K590:K596" si="48">SUM(H590:J590)</f>
        <v>274058.88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45084.959999999999</v>
      </c>
      <c r="K591" s="104">
        <f t="shared" si="48"/>
        <v>45084.959999999999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1724.27</v>
      </c>
      <c r="K592" s="104">
        <f t="shared" si="48"/>
        <v>1724.27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68872.73</v>
      </c>
      <c r="K593" s="104">
        <f t="shared" si="48"/>
        <v>68872.73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>
        <v>13714.3</v>
      </c>
      <c r="K594" s="104">
        <f t="shared" si="48"/>
        <v>13714.3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0</v>
      </c>
      <c r="J597" s="108">
        <f>SUM(J590:J596)</f>
        <v>403455.14</v>
      </c>
      <c r="K597" s="108">
        <f>SUM(K590:K596)</f>
        <v>403455.14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>
        <v>236592.96</v>
      </c>
      <c r="K603" s="104">
        <f>SUM(H603:J603)</f>
        <v>236592.96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236592.96</v>
      </c>
      <c r="K604" s="108">
        <f>SUM(K601:K603)</f>
        <v>236592.96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8864.93</v>
      </c>
      <c r="G612" s="18">
        <v>1686.82</v>
      </c>
      <c r="H612" s="18"/>
      <c r="I612" s="18">
        <v>4466.76</v>
      </c>
      <c r="J612" s="18"/>
      <c r="K612" s="18"/>
      <c r="L612" s="88">
        <f>SUM(F612:K612)</f>
        <v>15018.51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8864.93</v>
      </c>
      <c r="G613" s="108">
        <f t="shared" si="49"/>
        <v>1686.82</v>
      </c>
      <c r="H613" s="108">
        <f t="shared" si="49"/>
        <v>0</v>
      </c>
      <c r="I613" s="108">
        <f t="shared" si="49"/>
        <v>4466.76</v>
      </c>
      <c r="J613" s="108">
        <f t="shared" si="49"/>
        <v>0</v>
      </c>
      <c r="K613" s="108">
        <f t="shared" si="49"/>
        <v>0</v>
      </c>
      <c r="L613" s="89">
        <f t="shared" si="49"/>
        <v>15018.51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889836.65</v>
      </c>
      <c r="H616" s="109">
        <f>SUM(F51)</f>
        <v>889836.65000000014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4488.3799999999974</v>
      </c>
      <c r="H617" s="109">
        <f>SUM(G51)</f>
        <v>4488.38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2196.0800000000017</v>
      </c>
      <c r="H618" s="109">
        <f>SUM(H51)</f>
        <v>2196.08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3307.81</v>
      </c>
      <c r="H620" s="109">
        <f>SUM(J51)</f>
        <v>3307.81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737408.44000000006</v>
      </c>
      <c r="H621" s="109">
        <f>F475</f>
        <v>737408.43999999948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4488.38</v>
      </c>
      <c r="H622" s="109">
        <f>G475</f>
        <v>4488.3800000000047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3307.81</v>
      </c>
      <c r="H625" s="109">
        <f>J475</f>
        <v>3307.81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11784486.760000002</v>
      </c>
      <c r="H626" s="104">
        <f>SUM(F467)</f>
        <v>11784486.76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355103.6</v>
      </c>
      <c r="H627" s="104">
        <f>SUM(G467)</f>
        <v>355103.6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258800.06000000003</v>
      </c>
      <c r="H628" s="104">
        <f>SUM(H467)</f>
        <v>258800.06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1.94</v>
      </c>
      <c r="H630" s="104">
        <f>SUM(J467)</f>
        <v>1.94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12148673.479999999</v>
      </c>
      <c r="H631" s="104">
        <f>SUM(F471)</f>
        <v>12148673.48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258800.06</v>
      </c>
      <c r="H632" s="104">
        <f>SUM(H471)</f>
        <v>258800.06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353532</v>
      </c>
      <c r="H634" s="104">
        <f>SUM(G471)</f>
        <v>353532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1.94</v>
      </c>
      <c r="H636" s="164">
        <f>SUM(J467)</f>
        <v>1.94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3307.81</v>
      </c>
      <c r="H638" s="104">
        <f>SUM(F460)</f>
        <v>3307.81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3307.81</v>
      </c>
      <c r="H641" s="104">
        <f>SUM(I460)</f>
        <v>3307.81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1.94</v>
      </c>
      <c r="H643" s="104">
        <f>H407</f>
        <v>1.94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1.94</v>
      </c>
      <c r="H645" s="104">
        <f>L407</f>
        <v>1.94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403455.14</v>
      </c>
      <c r="H646" s="104">
        <f>L207+L225+L243</f>
        <v>403455.14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236592.96</v>
      </c>
      <c r="H647" s="104">
        <f>(J256+J337)-(J254+J335)</f>
        <v>236592.96000000002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403455.14</v>
      </c>
      <c r="H650" s="104">
        <f>J597</f>
        <v>403455.14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0</v>
      </c>
      <c r="G659" s="19">
        <f>(L228+L308+L358)</f>
        <v>0</v>
      </c>
      <c r="H659" s="19">
        <f>(L246+L327+L359)</f>
        <v>12475533.5</v>
      </c>
      <c r="I659" s="19">
        <f>SUM(F659:H659)</f>
        <v>12475533.5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227953</v>
      </c>
      <c r="I660" s="19">
        <f>SUM(F660:H660)</f>
        <v>227953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0</v>
      </c>
      <c r="G661" s="19">
        <f>(L225+L305)-(J225+J305)</f>
        <v>0</v>
      </c>
      <c r="H661" s="19">
        <f>(L243+L324)-(J243+J324)</f>
        <v>403455.14</v>
      </c>
      <c r="I661" s="19">
        <f>SUM(F661:H661)</f>
        <v>403455.14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0</v>
      </c>
      <c r="G662" s="200">
        <f>SUM(G574:G586)+SUM(I601:I603)+L611</f>
        <v>0</v>
      </c>
      <c r="H662" s="200">
        <f>SUM(H574:H586)+SUM(J601:J603)+L612</f>
        <v>528124.65</v>
      </c>
      <c r="I662" s="19">
        <f>SUM(F662:H662)</f>
        <v>528124.65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0</v>
      </c>
      <c r="G663" s="19">
        <f>G659-SUM(G660:G662)</f>
        <v>0</v>
      </c>
      <c r="H663" s="19">
        <f>H659-SUM(H660:H662)</f>
        <v>11316000.710000001</v>
      </c>
      <c r="I663" s="19">
        <f>I659-SUM(I660:I662)</f>
        <v>11316000.710000001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/>
      <c r="G664" s="249"/>
      <c r="H664" s="249">
        <v>656.16</v>
      </c>
      <c r="I664" s="19">
        <f>SUM(F664:H664)</f>
        <v>656.16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>
        <f>ROUND(H663/H664,2)</f>
        <v>17245.79</v>
      </c>
      <c r="I666" s="19">
        <f>ROUND(I663/I664,2)</f>
        <v>17245.79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8.1300000000000008</v>
      </c>
      <c r="I669" s="19">
        <f>SUM(F669:H669)</f>
        <v>8.1300000000000008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>
        <f>ROUND((H663+H668)/(H664+H669),2)</f>
        <v>17034.73</v>
      </c>
      <c r="I671" s="19">
        <f>ROUND((I663+I668)/(I664+I669),2)</f>
        <v>17034.73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68" sqref="A6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PEMI-BAKER REGIONAL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3118092.54</v>
      </c>
      <c r="C9" s="230">
        <f>'DOE25'!G196+'DOE25'!G214+'DOE25'!G232+'DOE25'!G275+'DOE25'!G294+'DOE25'!G313</f>
        <v>1490330.83</v>
      </c>
    </row>
    <row r="10" spans="1:3">
      <c r="A10" t="s">
        <v>779</v>
      </c>
      <c r="B10" s="241">
        <v>2990011.68</v>
      </c>
      <c r="C10" s="241">
        <v>1428629.73</v>
      </c>
    </row>
    <row r="11" spans="1:3">
      <c r="A11" t="s">
        <v>780</v>
      </c>
      <c r="B11" s="241">
        <v>106126.25</v>
      </c>
      <c r="C11" s="241">
        <v>59760.3</v>
      </c>
    </row>
    <row r="12" spans="1:3">
      <c r="A12" t="s">
        <v>781</v>
      </c>
      <c r="B12" s="241">
        <v>21954.61</v>
      </c>
      <c r="C12" s="241">
        <v>1940.8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3118092.54</v>
      </c>
      <c r="C13" s="232">
        <f>SUM(C10:C12)</f>
        <v>1490330.83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779632.68</v>
      </c>
      <c r="C18" s="230">
        <f>'DOE25'!G197+'DOE25'!G215+'DOE25'!G233+'DOE25'!G276+'DOE25'!G295+'DOE25'!G314</f>
        <v>417220.75</v>
      </c>
    </row>
    <row r="19" spans="1:3">
      <c r="A19" t="s">
        <v>779</v>
      </c>
      <c r="B19" s="241">
        <v>401030.24</v>
      </c>
      <c r="C19" s="241">
        <v>194737.17</v>
      </c>
    </row>
    <row r="20" spans="1:3">
      <c r="A20" t="s">
        <v>780</v>
      </c>
      <c r="B20" s="241">
        <v>333746.44</v>
      </c>
      <c r="C20" s="241">
        <v>191784.23</v>
      </c>
    </row>
    <row r="21" spans="1:3">
      <c r="A21" t="s">
        <v>781</v>
      </c>
      <c r="B21" s="241">
        <v>44856</v>
      </c>
      <c r="C21" s="241">
        <v>30699.35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779632.67999999993</v>
      </c>
      <c r="C22" s="232">
        <f>SUM(C19:C21)</f>
        <v>417220.75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368613.13</v>
      </c>
      <c r="C27" s="235">
        <f>'DOE25'!G198+'DOE25'!G216+'DOE25'!G234+'DOE25'!G277+'DOE25'!G296+'DOE25'!G315</f>
        <v>164094.06</v>
      </c>
    </row>
    <row r="28" spans="1:3">
      <c r="A28" t="s">
        <v>779</v>
      </c>
      <c r="B28" s="241">
        <v>320108.13</v>
      </c>
      <c r="C28" s="241">
        <v>142944.54999999999</v>
      </c>
    </row>
    <row r="29" spans="1:3">
      <c r="A29" t="s">
        <v>780</v>
      </c>
      <c r="B29" s="241">
        <v>48505</v>
      </c>
      <c r="C29" s="241">
        <v>21149.51</v>
      </c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368613.13</v>
      </c>
      <c r="C31" s="232">
        <f>SUM(C28:C30)</f>
        <v>164094.06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243510.12</v>
      </c>
      <c r="C36" s="236">
        <f>'DOE25'!G199+'DOE25'!G217+'DOE25'!G235+'DOE25'!G278+'DOE25'!G297+'DOE25'!G316</f>
        <v>36518.879999999997</v>
      </c>
    </row>
    <row r="37" spans="1:3">
      <c r="A37" t="s">
        <v>779</v>
      </c>
      <c r="B37" s="241">
        <v>243510.12</v>
      </c>
      <c r="C37" s="241">
        <v>36518.879999999997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243510.12</v>
      </c>
      <c r="C40" s="232">
        <f>SUM(C37:C39)</f>
        <v>36518.879999999997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PEMI-BAKER REGIONAL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7426162.8199999994</v>
      </c>
      <c r="D5" s="20">
        <f>SUM('DOE25'!L196:L199)+SUM('DOE25'!L214:L217)+SUM('DOE25'!L232:L235)-F5-G5</f>
        <v>7240608.3699999992</v>
      </c>
      <c r="E5" s="244"/>
      <c r="F5" s="256">
        <f>SUM('DOE25'!J196:J199)+SUM('DOE25'!J214:J217)+SUM('DOE25'!J232:J235)</f>
        <v>175377.45</v>
      </c>
      <c r="G5" s="53">
        <f>SUM('DOE25'!K196:K199)+SUM('DOE25'!K214:K217)+SUM('DOE25'!K232:K235)</f>
        <v>10177</v>
      </c>
      <c r="H5" s="260"/>
    </row>
    <row r="6" spans="1:9">
      <c r="A6" s="32">
        <v>2100</v>
      </c>
      <c r="B6" t="s">
        <v>801</v>
      </c>
      <c r="C6" s="246">
        <f t="shared" si="0"/>
        <v>963011.35</v>
      </c>
      <c r="D6" s="20">
        <f>'DOE25'!L201+'DOE25'!L219+'DOE25'!L237-F6-G6</f>
        <v>960376.35</v>
      </c>
      <c r="E6" s="244"/>
      <c r="F6" s="256">
        <f>'DOE25'!J201+'DOE25'!J219+'DOE25'!J237</f>
        <v>1496</v>
      </c>
      <c r="G6" s="53">
        <f>'DOE25'!K201+'DOE25'!K219+'DOE25'!K237</f>
        <v>1139</v>
      </c>
      <c r="H6" s="260"/>
    </row>
    <row r="7" spans="1:9">
      <c r="A7" s="32">
        <v>2200</v>
      </c>
      <c r="B7" t="s">
        <v>834</v>
      </c>
      <c r="C7" s="246">
        <f t="shared" si="0"/>
        <v>334194.37</v>
      </c>
      <c r="D7" s="20">
        <f>'DOE25'!L202+'DOE25'!L220+'DOE25'!L238-F7-G7</f>
        <v>330066.2</v>
      </c>
      <c r="E7" s="244"/>
      <c r="F7" s="256">
        <f>'DOE25'!J202+'DOE25'!J220+'DOE25'!J238</f>
        <v>4128.17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631850.19999999995</v>
      </c>
      <c r="D8" s="244"/>
      <c r="E8" s="20">
        <f>'DOE25'!L203+'DOE25'!L221+'DOE25'!L239-F8-G8-D9-D11</f>
        <v>623406.91999999993</v>
      </c>
      <c r="F8" s="256">
        <f>'DOE25'!J203+'DOE25'!J221+'DOE25'!J239</f>
        <v>0</v>
      </c>
      <c r="G8" s="53">
        <f>'DOE25'!K203+'DOE25'!K221+'DOE25'!K239</f>
        <v>8443.2800000000007</v>
      </c>
      <c r="H8" s="260"/>
    </row>
    <row r="9" spans="1:9">
      <c r="A9" s="32">
        <v>2310</v>
      </c>
      <c r="B9" t="s">
        <v>818</v>
      </c>
      <c r="C9" s="246">
        <f t="shared" si="0"/>
        <v>43060.95</v>
      </c>
      <c r="D9" s="245">
        <v>43060.95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14250</v>
      </c>
      <c r="D10" s="244"/>
      <c r="E10" s="245">
        <v>14250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156215.20000000001</v>
      </c>
      <c r="D11" s="245">
        <v>156215.20000000001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513598.17</v>
      </c>
      <c r="D12" s="20">
        <f>'DOE25'!L204+'DOE25'!L222+'DOE25'!L240-F12-G12</f>
        <v>499999.07</v>
      </c>
      <c r="E12" s="244"/>
      <c r="F12" s="256">
        <f>'DOE25'!J204+'DOE25'!J222+'DOE25'!J240</f>
        <v>0</v>
      </c>
      <c r="G12" s="53">
        <f>'DOE25'!K204+'DOE25'!K222+'DOE25'!K240</f>
        <v>13599.1</v>
      </c>
      <c r="H12" s="260"/>
    </row>
    <row r="13" spans="1:9">
      <c r="A13" s="32">
        <v>2500</v>
      </c>
      <c r="B13" t="s">
        <v>803</v>
      </c>
      <c r="C13" s="246">
        <f t="shared" si="0"/>
        <v>973.92</v>
      </c>
      <c r="D13" s="244"/>
      <c r="E13" s="20">
        <f>'DOE25'!L205+'DOE25'!L223+'DOE25'!L241-F13-G13</f>
        <v>973.92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1390679.32</v>
      </c>
      <c r="D14" s="20">
        <f>'DOE25'!L206+'DOE25'!L224+'DOE25'!L242-F14-G14</f>
        <v>1369955.56</v>
      </c>
      <c r="E14" s="244"/>
      <c r="F14" s="256">
        <f>'DOE25'!J206+'DOE25'!J224+'DOE25'!J242</f>
        <v>20723.759999999998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403455.14</v>
      </c>
      <c r="D15" s="20">
        <f>'DOE25'!L207+'DOE25'!L225+'DOE25'!L243-F15-G15</f>
        <v>403455.14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285472.03999999998</v>
      </c>
      <c r="D22" s="244"/>
      <c r="E22" s="244"/>
      <c r="F22" s="256">
        <f>'DOE25'!L254+'DOE25'!L335</f>
        <v>285472.03999999998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353532</v>
      </c>
      <c r="D29" s="20">
        <f>'DOE25'!L357+'DOE25'!L358+'DOE25'!L359-'DOE25'!I366-F29-G29</f>
        <v>353532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258800.06</v>
      </c>
      <c r="D31" s="20">
        <f>'DOE25'!L289+'DOE25'!L308+'DOE25'!L327+'DOE25'!L332+'DOE25'!L333+'DOE25'!L334-F31-G31</f>
        <v>218269.02999999997</v>
      </c>
      <c r="E31" s="244"/>
      <c r="F31" s="256">
        <f>'DOE25'!J289+'DOE25'!J308+'DOE25'!J327+'DOE25'!J332+'DOE25'!J333+'DOE25'!J334</f>
        <v>34867.58</v>
      </c>
      <c r="G31" s="53">
        <f>'DOE25'!K289+'DOE25'!K308+'DOE25'!K327+'DOE25'!K332+'DOE25'!K333+'DOE25'!K334</f>
        <v>5663.45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11575537.869999997</v>
      </c>
      <c r="E33" s="247">
        <f>SUM(E5:E31)</f>
        <v>638630.84</v>
      </c>
      <c r="F33" s="247">
        <f>SUM(F5:F31)</f>
        <v>522065.00000000006</v>
      </c>
      <c r="G33" s="247">
        <f>SUM(G5:G31)</f>
        <v>39021.829999999994</v>
      </c>
      <c r="H33" s="247">
        <f>SUM(H5:H31)</f>
        <v>0</v>
      </c>
    </row>
    <row r="35" spans="2:8" ht="12" thickBot="1">
      <c r="B35" s="254" t="s">
        <v>847</v>
      </c>
      <c r="D35" s="255">
        <f>E33</f>
        <v>638630.84</v>
      </c>
      <c r="E35" s="250"/>
    </row>
    <row r="36" spans="2:8" ht="12" thickTop="1">
      <c r="B36" t="s">
        <v>815</v>
      </c>
      <c r="D36" s="20">
        <f>D33</f>
        <v>11575537.869999997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PEMI-BAKER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742915.25</v>
      </c>
      <c r="D8" s="95">
        <f>'DOE25'!G9</f>
        <v>-26492.06</v>
      </c>
      <c r="E8" s="95">
        <f>'DOE25'!H9</f>
        <v>-28087.32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3307.81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140824.06</v>
      </c>
      <c r="D12" s="95">
        <f>'DOE25'!G13</f>
        <v>19151.939999999999</v>
      </c>
      <c r="E12" s="95">
        <f>'DOE25'!H13</f>
        <v>30283.4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6097.34</v>
      </c>
      <c r="D13" s="95">
        <f>'DOE25'!G14</f>
        <v>11828.5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889836.65</v>
      </c>
      <c r="D18" s="41">
        <f>SUM(D8:D17)</f>
        <v>4488.3799999999974</v>
      </c>
      <c r="E18" s="41">
        <f>SUM(E8:E17)</f>
        <v>2196.0800000000017</v>
      </c>
      <c r="F18" s="41">
        <f>SUM(F8:F17)</f>
        <v>0</v>
      </c>
      <c r="G18" s="41">
        <f>SUM(G8:G17)</f>
        <v>3307.81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106931.21</v>
      </c>
      <c r="D23" s="95">
        <f>'DOE25'!G24</f>
        <v>0</v>
      </c>
      <c r="E23" s="95">
        <f>'DOE25'!H24</f>
        <v>505.6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45497</v>
      </c>
      <c r="D24" s="95">
        <f>'DOE25'!G25</f>
        <v>0</v>
      </c>
      <c r="E24" s="95">
        <f>'DOE25'!H25</f>
        <v>1690.48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152428.21000000002</v>
      </c>
      <c r="D31" s="41">
        <f>SUM(D21:D30)</f>
        <v>0</v>
      </c>
      <c r="E31" s="41">
        <f>SUM(E21:E30)</f>
        <v>2196.08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 t="str">
        <f>'DOE25'!G43</f>
        <v xml:space="preserve"> 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4488.38</v>
      </c>
      <c r="E46" s="95">
        <f>'DOE25'!H47</f>
        <v>0</v>
      </c>
      <c r="F46" s="95">
        <f>'DOE25'!I47</f>
        <v>0</v>
      </c>
      <c r="G46" s="95">
        <f>'DOE25'!J47</f>
        <v>3307.81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529874.4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207534.04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737408.44000000006</v>
      </c>
      <c r="D49" s="41">
        <f>SUM(D34:D48)</f>
        <v>4488.38</v>
      </c>
      <c r="E49" s="41">
        <f>SUM(E34:E48)</f>
        <v>0</v>
      </c>
      <c r="F49" s="41">
        <f>SUM(F34:F48)</f>
        <v>0</v>
      </c>
      <c r="G49" s="41">
        <f>SUM(G34:G48)</f>
        <v>3307.81</v>
      </c>
      <c r="H49" s="124"/>
      <c r="I49" s="124"/>
    </row>
    <row r="50" spans="1:9" ht="12" thickTop="1">
      <c r="A50" s="38" t="s">
        <v>895</v>
      </c>
      <c r="B50" s="2"/>
      <c r="C50" s="41">
        <f>C49+C31</f>
        <v>889836.65000000014</v>
      </c>
      <c r="D50" s="41">
        <f>D49+D31</f>
        <v>4488.38</v>
      </c>
      <c r="E50" s="41">
        <f>E49+E31</f>
        <v>2196.08</v>
      </c>
      <c r="F50" s="41">
        <f>F49+F31</f>
        <v>0</v>
      </c>
      <c r="G50" s="41">
        <f>G49+G31</f>
        <v>3307.81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6466100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134674.76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2663.35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1.94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227953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341634.44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478972.55000000005</v>
      </c>
      <c r="D61" s="130">
        <f>SUM(D56:D60)</f>
        <v>227953</v>
      </c>
      <c r="E61" s="130">
        <f>SUM(E56:E60)</f>
        <v>0</v>
      </c>
      <c r="F61" s="130">
        <f>SUM(F56:F60)</f>
        <v>0</v>
      </c>
      <c r="G61" s="130">
        <f>SUM(G56:G60)</f>
        <v>1.94</v>
      </c>
      <c r="H61"/>
      <c r="I61"/>
    </row>
    <row r="62" spans="1:9" ht="12" thickTop="1">
      <c r="A62" s="29" t="s">
        <v>175</v>
      </c>
      <c r="B62" s="6"/>
      <c r="C62" s="22">
        <f>C55+C61</f>
        <v>6945072.5499999998</v>
      </c>
      <c r="D62" s="22">
        <f>D55+D61</f>
        <v>227953</v>
      </c>
      <c r="E62" s="22">
        <f>E55+E61</f>
        <v>0</v>
      </c>
      <c r="F62" s="22">
        <f>F55+F61</f>
        <v>0</v>
      </c>
      <c r="G62" s="22">
        <f>G55+G61</f>
        <v>1.94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2713500.92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1905296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2351.08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4621148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85295.76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41823.56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2782.19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127119.31999999999</v>
      </c>
      <c r="D77" s="130">
        <f>SUM(D71:D76)</f>
        <v>2782.19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4748267.32</v>
      </c>
      <c r="D80" s="130">
        <f>SUM(D78:D79)+D77+D69</f>
        <v>2782.19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67570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23576.89</v>
      </c>
      <c r="D87" s="95">
        <f>SUM('DOE25'!G152:G160)</f>
        <v>124368.41</v>
      </c>
      <c r="E87" s="95">
        <f>SUM('DOE25'!H152:H160)</f>
        <v>258800.06000000003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91146.89</v>
      </c>
      <c r="D90" s="131">
        <f>SUM(D84:D89)</f>
        <v>124368.41</v>
      </c>
      <c r="E90" s="131">
        <f>SUM(E84:E89)</f>
        <v>258800.06000000003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11784486.760000002</v>
      </c>
      <c r="D103" s="86">
        <f>D62+D80+D90+D102</f>
        <v>355103.6</v>
      </c>
      <c r="E103" s="86">
        <f>E62+E80+E90+E102</f>
        <v>258800.06000000003</v>
      </c>
      <c r="F103" s="86">
        <f>F62+F80+F90+F102</f>
        <v>0</v>
      </c>
      <c r="G103" s="86">
        <f>G62+G80+G102</f>
        <v>1.94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4919631.7299999995</v>
      </c>
      <c r="D108" s="24" t="s">
        <v>289</v>
      </c>
      <c r="E108" s="95">
        <f>('DOE25'!L275)+('DOE25'!L294)+('DOE25'!L313)</f>
        <v>126545.26000000001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1503024.9100000001</v>
      </c>
      <c r="D109" s="24" t="s">
        <v>289</v>
      </c>
      <c r="E109" s="95">
        <f>('DOE25'!L276)+('DOE25'!L295)+('DOE25'!L314)</f>
        <v>3925.59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513360.12999999995</v>
      </c>
      <c r="D110" s="24" t="s">
        <v>289</v>
      </c>
      <c r="E110" s="95">
        <f>('DOE25'!L277)+('DOE25'!L296)+('DOE25'!L315)</f>
        <v>87047.01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490146.05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7426162.8199999994</v>
      </c>
      <c r="D114" s="86">
        <f>SUM(D108:D113)</f>
        <v>0</v>
      </c>
      <c r="E114" s="86">
        <f>SUM(E108:E113)</f>
        <v>217517.86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963011.35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334194.37</v>
      </c>
      <c r="D118" s="24" t="s">
        <v>289</v>
      </c>
      <c r="E118" s="95">
        <f>+('DOE25'!L281)+('DOE25'!L300)+('DOE25'!L319)</f>
        <v>33009.11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831126.35</v>
      </c>
      <c r="D119" s="24" t="s">
        <v>289</v>
      </c>
      <c r="E119" s="95">
        <f>+('DOE25'!L282)+('DOE25'!L301)+('DOE25'!L320)</f>
        <v>4475.1400000000003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513598.17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973.92</v>
      </c>
      <c r="D121" s="24" t="s">
        <v>289</v>
      </c>
      <c r="E121" s="95">
        <f>+('DOE25'!L284)+('DOE25'!L303)+('DOE25'!L322)</f>
        <v>3797.95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1390679.32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403455.14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353532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4437038.6199999992</v>
      </c>
      <c r="D127" s="86">
        <f>SUM(D117:D126)</f>
        <v>353532</v>
      </c>
      <c r="E127" s="86">
        <f>SUM(E117:E126)</f>
        <v>41282.199999999997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285472.03999999998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0.85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1.0900000000000001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-1.94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285472.03999999998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12148673.479999997</v>
      </c>
      <c r="D144" s="86">
        <f>(D114+D127+D143)</f>
        <v>353532</v>
      </c>
      <c r="E144" s="86">
        <f>(E114+E127+E143)</f>
        <v>258800.06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PEMI-BAKER REGIONAL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17035</v>
      </c>
    </row>
    <row r="7" spans="1:4">
      <c r="B7" t="s">
        <v>705</v>
      </c>
      <c r="C7" s="179">
        <f>IF('DOE25'!I664+'DOE25'!I669=0,0,ROUND('DOE25'!I671,0))</f>
        <v>17035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5046177</v>
      </c>
      <c r="D10" s="182">
        <f>ROUND((C10/$C$28)*100,1)</f>
        <v>41.2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1506951</v>
      </c>
      <c r="D11" s="182">
        <f>ROUND((C11/$C$28)*100,1)</f>
        <v>12.3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600407</v>
      </c>
      <c r="D12" s="182">
        <f>ROUND((C12/$C$28)*100,1)</f>
        <v>4.9000000000000004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490146</v>
      </c>
      <c r="D13" s="182">
        <f>ROUND((C13/$C$28)*100,1)</f>
        <v>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963011</v>
      </c>
      <c r="D15" s="182">
        <f t="shared" ref="D15:D27" si="0">ROUND((C15/$C$28)*100,1)</f>
        <v>7.9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367203</v>
      </c>
      <c r="D16" s="182">
        <f t="shared" si="0"/>
        <v>3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835601</v>
      </c>
      <c r="D17" s="182">
        <f t="shared" si="0"/>
        <v>6.8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513598</v>
      </c>
      <c r="D18" s="182">
        <f t="shared" si="0"/>
        <v>4.2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4772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1390679</v>
      </c>
      <c r="D20" s="182">
        <f t="shared" si="0"/>
        <v>11.4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403455</v>
      </c>
      <c r="D21" s="182">
        <f t="shared" si="0"/>
        <v>3.3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125579</v>
      </c>
      <c r="D27" s="182">
        <f t="shared" si="0"/>
        <v>1</v>
      </c>
    </row>
    <row r="28" spans="1:4">
      <c r="B28" s="187" t="s">
        <v>723</v>
      </c>
      <c r="C28" s="180">
        <f>SUM(C10:C27)</f>
        <v>12247579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285472</v>
      </c>
    </row>
    <row r="30" spans="1:4">
      <c r="B30" s="187" t="s">
        <v>729</v>
      </c>
      <c r="C30" s="180">
        <f>SUM(C28:C29)</f>
        <v>12533051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6466100</v>
      </c>
      <c r="D35" s="182">
        <f t="shared" ref="D35:D40" si="1">ROUND((C35/$C$41)*100,1)</f>
        <v>53.1</v>
      </c>
    </row>
    <row r="36" spans="1:4">
      <c r="B36" s="185" t="s">
        <v>743</v>
      </c>
      <c r="C36" s="179">
        <f>SUM('DOE25'!F111:J111)-SUM('DOE25'!G96:G109)+('DOE25'!F173+'DOE25'!F174+'DOE25'!I173+'DOE25'!I174)-C35</f>
        <v>478974.49000000022</v>
      </c>
      <c r="D36" s="182">
        <f t="shared" si="1"/>
        <v>3.9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4621148</v>
      </c>
      <c r="D37" s="182">
        <f t="shared" si="1"/>
        <v>38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129902</v>
      </c>
      <c r="D38" s="182">
        <f t="shared" si="1"/>
        <v>1.1000000000000001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474315</v>
      </c>
      <c r="D39" s="182">
        <f t="shared" si="1"/>
        <v>3.9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12170439.49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PEMI-BAKER REGIONAL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2012-09-18T13:00:35Z</cp:lastPrinted>
  <dcterms:created xsi:type="dcterms:W3CDTF">1997-12-04T19:04:30Z</dcterms:created>
  <dcterms:modified xsi:type="dcterms:W3CDTF">2012-11-21T15:15:15Z</dcterms:modified>
</cp:coreProperties>
</file>