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399" i="1" l="1"/>
  <c r="J467" i="1"/>
  <c r="H395" i="1"/>
  <c r="F145" i="1"/>
  <c r="B19" i="12"/>
  <c r="B20" i="12"/>
  <c r="B22" i="12"/>
  <c r="C10" i="12"/>
  <c r="B12" i="12"/>
  <c r="B11" i="12"/>
  <c r="B10" i="12"/>
  <c r="F664" i="1"/>
  <c r="H367" i="1"/>
  <c r="F367" i="1"/>
  <c r="H144" i="1"/>
  <c r="H154" i="1"/>
  <c r="H153" i="1"/>
  <c r="H109" i="1"/>
  <c r="D9" i="13"/>
  <c r="H525" i="1"/>
  <c r="G522" i="1"/>
  <c r="F522" i="1"/>
  <c r="I525" i="1"/>
  <c r="G525" i="1"/>
  <c r="F525" i="1"/>
  <c r="G520" i="1"/>
  <c r="F520" i="1"/>
  <c r="F501" i="1"/>
  <c r="F29" i="1"/>
  <c r="G359" i="1"/>
  <c r="I359" i="1"/>
  <c r="H359" i="1"/>
  <c r="F359" i="1"/>
  <c r="K357" i="1"/>
  <c r="I357" i="1"/>
  <c r="H357" i="1"/>
  <c r="G357" i="1"/>
  <c r="F357" i="1"/>
  <c r="J280" i="1"/>
  <c r="H280" i="1"/>
  <c r="K281" i="1"/>
  <c r="H281" i="1"/>
  <c r="G281" i="1"/>
  <c r="F281" i="1"/>
  <c r="H276" i="1"/>
  <c r="G276" i="1"/>
  <c r="F276" i="1"/>
  <c r="K262" i="1"/>
  <c r="I243" i="1"/>
  <c r="G243" i="1"/>
  <c r="F243" i="1"/>
  <c r="K243" i="1"/>
  <c r="H243" i="1"/>
  <c r="J242" i="1"/>
  <c r="I242" i="1"/>
  <c r="H242" i="1"/>
  <c r="G242" i="1"/>
  <c r="F242" i="1"/>
  <c r="K240" i="1"/>
  <c r="I240" i="1"/>
  <c r="H240" i="1"/>
  <c r="G240" i="1"/>
  <c r="F240" i="1"/>
  <c r="H239" i="1"/>
  <c r="K239" i="1"/>
  <c r="I239" i="1"/>
  <c r="G239" i="1"/>
  <c r="F239" i="1"/>
  <c r="K238" i="1"/>
  <c r="G238" i="1"/>
  <c r="F238" i="1"/>
  <c r="K237" i="1"/>
  <c r="J237" i="1"/>
  <c r="I237" i="1"/>
  <c r="H237" i="1"/>
  <c r="G237" i="1"/>
  <c r="F237" i="1"/>
  <c r="K235" i="1"/>
  <c r="J235" i="1"/>
  <c r="I235" i="1"/>
  <c r="H235" i="1"/>
  <c r="G235" i="1"/>
  <c r="F235" i="1"/>
  <c r="H234" i="1"/>
  <c r="G233" i="1"/>
  <c r="F233" i="1"/>
  <c r="K232" i="1"/>
  <c r="J232" i="1"/>
  <c r="I232" i="1"/>
  <c r="H232" i="1"/>
  <c r="G232" i="1"/>
  <c r="F232" i="1"/>
  <c r="K207" i="1"/>
  <c r="I207" i="1"/>
  <c r="G207" i="1"/>
  <c r="F207" i="1"/>
  <c r="H207" i="1"/>
  <c r="J206" i="1"/>
  <c r="I206" i="1"/>
  <c r="H206" i="1"/>
  <c r="G206" i="1"/>
  <c r="F206" i="1"/>
  <c r="G204" i="1"/>
  <c r="F204" i="1"/>
  <c r="H204" i="1"/>
  <c r="K204" i="1"/>
  <c r="J204" i="1"/>
  <c r="I204" i="1"/>
  <c r="G203" i="1"/>
  <c r="F203" i="1"/>
  <c r="H203" i="1"/>
  <c r="I203" i="1"/>
  <c r="K202" i="1"/>
  <c r="I202" i="1"/>
  <c r="G202" i="1"/>
  <c r="F202" i="1"/>
  <c r="H202" i="1"/>
  <c r="K201" i="1"/>
  <c r="J201" i="1"/>
  <c r="K199" i="1"/>
  <c r="I199" i="1"/>
  <c r="G199" i="1"/>
  <c r="F199" i="1"/>
  <c r="K197" i="1"/>
  <c r="H197" i="1"/>
  <c r="G197" i="1"/>
  <c r="F197" i="1"/>
  <c r="K196" i="1"/>
  <c r="J196" i="1"/>
  <c r="I196" i="1"/>
  <c r="H196" i="1"/>
  <c r="G196" i="1"/>
  <c r="F196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/>
  <c r="G58" i="2"/>
  <c r="G60" i="2"/>
  <c r="F2" i="11"/>
  <c r="L612" i="1"/>
  <c r="H662" i="1" s="1"/>
  <c r="L611" i="1"/>
  <c r="G662" i="1" s="1"/>
  <c r="G663" i="1" s="1"/>
  <c r="G671" i="1" s="1"/>
  <c r="L610" i="1"/>
  <c r="F662" i="1" s="1"/>
  <c r="I662" i="1" s="1"/>
  <c r="C40" i="10"/>
  <c r="F59" i="1"/>
  <c r="G59" i="1"/>
  <c r="H59" i="1"/>
  <c r="I59" i="1"/>
  <c r="I111" i="1" s="1"/>
  <c r="I192" i="1" s="1"/>
  <c r="G629" i="1" s="1"/>
  <c r="J629" i="1" s="1"/>
  <c r="F78" i="1"/>
  <c r="F93" i="1"/>
  <c r="F110" i="1"/>
  <c r="G110" i="1"/>
  <c r="G111" i="1" s="1"/>
  <c r="H78" i="1"/>
  <c r="H93" i="1"/>
  <c r="H110" i="1"/>
  <c r="I110" i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H146" i="1"/>
  <c r="H161" i="1"/>
  <c r="I146" i="1"/>
  <c r="I161" i="1"/>
  <c r="C10" i="10"/>
  <c r="C12" i="10"/>
  <c r="C13" i="10"/>
  <c r="C15" i="10"/>
  <c r="C16" i="10"/>
  <c r="C17" i="10"/>
  <c r="C18" i="10"/>
  <c r="C19" i="10"/>
  <c r="C20" i="10"/>
  <c r="L249" i="1"/>
  <c r="L331" i="1"/>
  <c r="L253" i="1"/>
  <c r="C24" i="10"/>
  <c r="C25" i="10"/>
  <c r="L267" i="1"/>
  <c r="L268" i="1"/>
  <c r="L348" i="1"/>
  <c r="L349" i="1"/>
  <c r="I664" i="1"/>
  <c r="I669" i="1"/>
  <c r="L228" i="1"/>
  <c r="L246" i="1"/>
  <c r="F660" i="1"/>
  <c r="G660" i="1"/>
  <c r="H660" i="1"/>
  <c r="F661" i="1"/>
  <c r="G661" i="1"/>
  <c r="H661" i="1"/>
  <c r="I668" i="1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/>
  <c r="G42" i="2" s="1"/>
  <c r="I456" i="1"/>
  <c r="J37" i="1" s="1"/>
  <c r="G36" i="2" s="1"/>
  <c r="I458" i="1"/>
  <c r="J47" i="1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G102" i="2" s="1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3" i="1"/>
  <c r="G133" i="2" s="1"/>
  <c r="G143" i="2" s="1"/>
  <c r="G144" i="2" s="1"/>
  <c r="K432" i="1"/>
  <c r="L262" i="1"/>
  <c r="C134" i="2" s="1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/>
  <c r="H502" i="1"/>
  <c r="D163" i="2"/>
  <c r="I502" i="1"/>
  <c r="E163" i="2"/>
  <c r="J502" i="1"/>
  <c r="F163" i="2"/>
  <c r="F19" i="1"/>
  <c r="G19" i="1"/>
  <c r="H19" i="1"/>
  <c r="I19" i="1"/>
  <c r="F32" i="1"/>
  <c r="G32" i="1"/>
  <c r="H32" i="1"/>
  <c r="I32" i="1"/>
  <c r="F50" i="1"/>
  <c r="G50" i="1"/>
  <c r="H50" i="1"/>
  <c r="H51" i="1"/>
  <c r="H618" i="1" s="1"/>
  <c r="I50" i="1"/>
  <c r="I51" i="1"/>
  <c r="H619" i="1" s="1"/>
  <c r="J619" i="1" s="1"/>
  <c r="F176" i="1"/>
  <c r="I176" i="1"/>
  <c r="F182" i="1"/>
  <c r="G182" i="1"/>
  <c r="H182" i="1"/>
  <c r="I182" i="1"/>
  <c r="I191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H433" i="1" s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I433" i="1" s="1"/>
  <c r="J432" i="1"/>
  <c r="F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G570" i="1" s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H644" i="1"/>
  <c r="H646" i="1"/>
  <c r="G648" i="1"/>
  <c r="G649" i="1"/>
  <c r="H649" i="1"/>
  <c r="J649" i="1"/>
  <c r="G650" i="1"/>
  <c r="G651" i="1"/>
  <c r="H651" i="1"/>
  <c r="G652" i="1"/>
  <c r="H652" i="1"/>
  <c r="J652" i="1"/>
  <c r="G653" i="1"/>
  <c r="H653" i="1"/>
  <c r="J653" i="1" s="1"/>
  <c r="H654" i="1"/>
  <c r="F191" i="1"/>
  <c r="L255" i="1"/>
  <c r="K256" i="1"/>
  <c r="K270" i="1" s="1"/>
  <c r="I256" i="1"/>
  <c r="I270" i="1" s="1"/>
  <c r="G159" i="2"/>
  <c r="C18" i="2"/>
  <c r="F31" i="2"/>
  <c r="C26" i="10"/>
  <c r="L327" i="1"/>
  <c r="L350" i="1"/>
  <c r="I661" i="1"/>
  <c r="L289" i="1"/>
  <c r="A31" i="1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F77" i="2"/>
  <c r="F61" i="2"/>
  <c r="F62" i="2" s="1"/>
  <c r="D31" i="2"/>
  <c r="C127" i="2"/>
  <c r="C77" i="2"/>
  <c r="D49" i="2"/>
  <c r="G156" i="2"/>
  <c r="F49" i="2"/>
  <c r="F50" i="2" s="1"/>
  <c r="F18" i="2"/>
  <c r="G162" i="2"/>
  <c r="G157" i="2"/>
  <c r="G155" i="2"/>
  <c r="E143" i="2"/>
  <c r="E114" i="2"/>
  <c r="E102" i="2"/>
  <c r="C102" i="2"/>
  <c r="D90" i="2"/>
  <c r="F90" i="2"/>
  <c r="E61" i="2"/>
  <c r="E62" i="2" s="1"/>
  <c r="C61" i="2"/>
  <c r="C62" i="2" s="1"/>
  <c r="E31" i="2"/>
  <c r="C31" i="2"/>
  <c r="G61" i="2"/>
  <c r="G62" i="2" s="1"/>
  <c r="D29" i="13"/>
  <c r="C29" i="13" s="1"/>
  <c r="D19" i="13"/>
  <c r="C19" i="13" s="1"/>
  <c r="D14" i="13"/>
  <c r="C14" i="13" s="1"/>
  <c r="E13" i="13"/>
  <c r="C13" i="13" s="1"/>
  <c r="C7" i="13"/>
  <c r="E77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I168" i="1"/>
  <c r="H168" i="1"/>
  <c r="J270" i="1"/>
  <c r="L433" i="1"/>
  <c r="G637" i="1" s="1"/>
  <c r="J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/>
  <c r="J624" i="1" s="1"/>
  <c r="G475" i="1"/>
  <c r="H622" i="1" s="1"/>
  <c r="J622" i="1" s="1"/>
  <c r="G337" i="1"/>
  <c r="G351" i="1" s="1"/>
  <c r="C23" i="10"/>
  <c r="F168" i="1"/>
  <c r="J139" i="1"/>
  <c r="F570" i="1"/>
  <c r="H256" i="1"/>
  <c r="H270" i="1" s="1"/>
  <c r="K597" i="1"/>
  <c r="G646" i="1" s="1"/>
  <c r="J646" i="1" s="1"/>
  <c r="K544" i="1"/>
  <c r="C29" i="10"/>
  <c r="I660" i="1"/>
  <c r="H139" i="1"/>
  <c r="L400" i="1"/>
  <c r="C138" i="2" s="1"/>
  <c r="L392" i="1"/>
  <c r="A13" i="12"/>
  <c r="F22" i="13"/>
  <c r="H25" i="13"/>
  <c r="J633" i="1"/>
  <c r="H570" i="1"/>
  <c r="L559" i="1"/>
  <c r="J544" i="1"/>
  <c r="L336" i="1"/>
  <c r="H337" i="1"/>
  <c r="H351" i="1" s="1"/>
  <c r="F337" i="1"/>
  <c r="F351" i="1" s="1"/>
  <c r="G191" i="1"/>
  <c r="H191" i="1"/>
  <c r="H192" i="1" s="1"/>
  <c r="G628" i="1" s="1"/>
  <c r="J628" i="1" s="1"/>
  <c r="E127" i="2"/>
  <c r="E144" i="2" s="1"/>
  <c r="C35" i="10"/>
  <c r="L308" i="1"/>
  <c r="E16" i="13"/>
  <c r="C49" i="2"/>
  <c r="C50" i="2" s="1"/>
  <c r="J654" i="1"/>
  <c r="L569" i="1"/>
  <c r="I570" i="1"/>
  <c r="I544" i="1"/>
  <c r="L564" i="1"/>
  <c r="L570" i="1" s="1"/>
  <c r="G544" i="1"/>
  <c r="L544" i="1"/>
  <c r="H544" i="1"/>
  <c r="C22" i="13"/>
  <c r="C137" i="2"/>
  <c r="L407" i="1"/>
  <c r="G636" i="1" s="1"/>
  <c r="J636" i="1" s="1"/>
  <c r="C16" i="13"/>
  <c r="E33" i="13"/>
  <c r="D35" i="13" s="1"/>
  <c r="G659" i="1"/>
  <c r="L337" i="1"/>
  <c r="L351" i="1" s="1"/>
  <c r="G632" i="1" s="1"/>
  <c r="J632" i="1" s="1"/>
  <c r="C25" i="13"/>
  <c r="H33" i="13"/>
  <c r="I551" i="1" l="1"/>
  <c r="K549" i="1"/>
  <c r="G22" i="2"/>
  <c r="J32" i="1"/>
  <c r="J551" i="1"/>
  <c r="C27" i="10"/>
  <c r="G634" i="1"/>
  <c r="J635" i="1"/>
  <c r="F31" i="13"/>
  <c r="J634" i="1"/>
  <c r="J650" i="1"/>
  <c r="G256" i="1"/>
  <c r="G270" i="1" s="1"/>
  <c r="H659" i="1"/>
  <c r="G168" i="1"/>
  <c r="G31" i="13"/>
  <c r="C18" i="12"/>
  <c r="D102" i="2"/>
  <c r="C69" i="2"/>
  <c r="C80" i="2" s="1"/>
  <c r="C103" i="2" s="1"/>
  <c r="D144" i="2"/>
  <c r="F33" i="13"/>
  <c r="J192" i="1"/>
  <c r="J641" i="1"/>
  <c r="C140" i="2"/>
  <c r="C143" i="2" s="1"/>
  <c r="F139" i="1"/>
  <c r="E90" i="2"/>
  <c r="H551" i="1"/>
  <c r="K550" i="1"/>
  <c r="G551" i="1"/>
  <c r="F544" i="1"/>
  <c r="K548" i="1"/>
  <c r="F551" i="1"/>
  <c r="G160" i="2"/>
  <c r="G46" i="2"/>
  <c r="J50" i="1"/>
  <c r="G49" i="2"/>
  <c r="G8" i="2"/>
  <c r="G18" i="2" s="1"/>
  <c r="J19" i="1"/>
  <c r="G620" i="1" s="1"/>
  <c r="J639" i="1"/>
  <c r="G645" i="1"/>
  <c r="G630" i="1"/>
  <c r="J630" i="1" s="1"/>
  <c r="G103" i="2"/>
  <c r="G644" i="1"/>
  <c r="J644" i="1" s="1"/>
  <c r="C36" i="10"/>
  <c r="C38" i="10"/>
  <c r="J651" i="1"/>
  <c r="G192" i="1"/>
  <c r="G627" i="1" s="1"/>
  <c r="J627" i="1" s="1"/>
  <c r="C39" i="10"/>
  <c r="G51" i="1"/>
  <c r="H617" i="1" s="1"/>
  <c r="J617" i="1" s="1"/>
  <c r="D50" i="2"/>
  <c r="F192" i="1"/>
  <c r="G626" i="1" s="1"/>
  <c r="J626" i="1" s="1"/>
  <c r="F51" i="1"/>
  <c r="H616" i="1" s="1"/>
  <c r="J616" i="1" s="1"/>
  <c r="J618" i="1"/>
  <c r="G666" i="1"/>
  <c r="D31" i="13"/>
  <c r="C31" i="13" s="1"/>
  <c r="A22" i="12"/>
  <c r="H663" i="1"/>
  <c r="H666" i="1" s="1"/>
  <c r="C21" i="10"/>
  <c r="H671" i="1"/>
  <c r="C6" i="10" s="1"/>
  <c r="J648" i="1"/>
  <c r="L197" i="1"/>
  <c r="C11" i="10" s="1"/>
  <c r="H647" i="1"/>
  <c r="J647" i="1" s="1"/>
  <c r="E80" i="2"/>
  <c r="G33" i="13"/>
  <c r="G163" i="2"/>
  <c r="F80" i="2"/>
  <c r="F103" i="2" s="1"/>
  <c r="G31" i="2"/>
  <c r="G50" i="2" s="1"/>
  <c r="E103" i="2"/>
  <c r="H645" i="1"/>
  <c r="J645" i="1" s="1"/>
  <c r="D103" i="2"/>
  <c r="F143" i="2"/>
  <c r="F144" i="2" s="1"/>
  <c r="C109" i="2" l="1"/>
  <c r="C114" i="2" s="1"/>
  <c r="C144" i="2" s="1"/>
  <c r="C41" i="10"/>
  <c r="D37" i="10" s="1"/>
  <c r="K551" i="1"/>
  <c r="G625" i="1"/>
  <c r="J625" i="1" s="1"/>
  <c r="J51" i="1"/>
  <c r="H620" i="1" s="1"/>
  <c r="J620" i="1" s="1"/>
  <c r="D5" i="13"/>
  <c r="C5" i="13" s="1"/>
  <c r="C28" i="10"/>
  <c r="D23" i="10" s="1"/>
  <c r="L210" i="1"/>
  <c r="F659" i="1" s="1"/>
  <c r="D35" i="10"/>
  <c r="D38" i="10"/>
  <c r="D36" i="10"/>
  <c r="D39" i="10" l="1"/>
  <c r="D40" i="10"/>
  <c r="D41" i="10" s="1"/>
  <c r="D24" i="10"/>
  <c r="D13" i="10"/>
  <c r="D26" i="10"/>
  <c r="D20" i="10"/>
  <c r="D33" i="13"/>
  <c r="D36" i="13" s="1"/>
  <c r="L256" i="1"/>
  <c r="L270" i="1" s="1"/>
  <c r="G631" i="1" s="1"/>
  <c r="D10" i="10"/>
  <c r="D15" i="10"/>
  <c r="D18" i="10"/>
  <c r="D25" i="10"/>
  <c r="D21" i="10"/>
  <c r="D16" i="10"/>
  <c r="D27" i="10"/>
  <c r="D17" i="10"/>
  <c r="D12" i="10"/>
  <c r="D19" i="10"/>
  <c r="C30" i="10"/>
  <c r="D22" i="10"/>
  <c r="D11" i="10"/>
  <c r="F663" i="1"/>
  <c r="I659" i="1"/>
  <c r="I663" i="1" s="1"/>
  <c r="D28" i="10" l="1"/>
  <c r="J631" i="1"/>
  <c r="H655" i="1"/>
  <c r="F671" i="1"/>
  <c r="C4" i="10" s="1"/>
  <c r="F666" i="1"/>
  <c r="I666" i="1"/>
  <c r="I671" i="1"/>
  <c r="C7" i="10" s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<sst xmlns="http://schemas.openxmlformats.org/spreadsheetml/2006/main" count="3947" uniqueCount="914">
  <si>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</si>
  <si>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</si>
  <si>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</si>
  <si>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</si>
  <si>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</si>
  <si>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</si>
  <si>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</si>
  <si>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</si>
  <si>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</si>
  <si>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</si>
  <si>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</si>
  <si>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</si>
  <si>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</si>
  <si>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</si>
  <si>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</si>
  <si>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</si>
  <si>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</si>
  <si>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</si>
  <si>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</si>
  <si>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</si>
  <si>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</si>
  <si>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</si>
  <si>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</si>
  <si>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</si>
  <si>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</si>
  <si>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</si>
  <si>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</si>
  <si>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</si>
  <si>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</si>
  <si>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</si>
  <si>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</si>
  <si>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</si>
  <si>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</si>
  <si>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</si>
  <si>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</si>
  <si>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</si>
  <si>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</si>
  <si>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</si>
  <si>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</si>
  <si>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</si>
  <si>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</si>
  <si>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</si>
  <si>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</si>
  <si>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</si>
  <si>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</si>
  <si>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</si>
  <si>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</si>
  <si>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</si>
  <si>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</si>
  <si>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</si>
  <si>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</si>
  <si>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</si>
  <si>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</si>
  <si>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</si>
  <si>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</si>
  <si>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</si>
  <si>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</si>
  <si>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</si>
  <si>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</si>
  <si>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</si>
  <si>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</si>
  <si>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</si>
  <si>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</si>
  <si>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</si>
  <si>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</si>
  <si>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</si>
  <si>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</si>
  <si>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</si>
  <si>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</si>
  <si>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</si>
  <si>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</si>
  <si>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</si>
  <si>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</si>
  <si>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</si>
  <si>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</si>
  <si>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</si>
  <si>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</si>
  <si>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</si>
  <si>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</si>
  <si>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</si>
  <si>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</si>
  <si>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</si>
  <si>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</si>
  <si>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</si>
  <si>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</si>
  <si>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</si>
  <si>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</si>
  <si>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</si>
  <si>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</si>
  <si>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</si>
  <si>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</si>
  <si>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</si>
  <si>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</si>
  <si>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</si>
  <si>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</si>
  <si>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</si>
  <si>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</si>
  <si>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</si>
  <si>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</si>
  <si>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</si>
  <si>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</si>
  <si>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</si>
  <si>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</si>
  <si>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</si>
  <si>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</si>
  <si>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</si>
  <si>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</si>
  <si>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</si>
  <si>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</si>
  <si>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</si>
  <si>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</si>
  <si>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</si>
  <si>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</si>
  <si>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</si>
  <si>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</si>
  <si>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</si>
  <si>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</si>
  <si>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</si>
  <si>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</si>
  <si>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</si>
  <si>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</si>
  <si>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</si>
  <si>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</si>
  <si>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</si>
  <si>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</si>
  <si>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</si>
  <si>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</si>
  <si>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</si>
  <si>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</si>
  <si>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</si>
  <si>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</si>
  <si>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</si>
  <si>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</si>
  <si>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</si>
  <si>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</si>
  <si>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</si>
  <si>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</si>
  <si>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</si>
  <si>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</si>
  <si>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</si>
  <si>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</si>
  <si>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</si>
  <si>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</si>
  <si>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</si>
  <si>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</si>
  <si>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</si>
  <si>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</si>
  <si>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</si>
  <si>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</si>
  <si>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</si>
  <si>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</si>
  <si>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</si>
  <si>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</si>
  <si>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</si>
  <si>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</si>
  <si>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</si>
  <si>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</si>
  <si>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</si>
  <si>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</si>
  <si>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</si>
  <si>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</si>
  <si>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</si>
  <si>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</si>
  <si>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</si>
  <si>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</si>
  <si>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</si>
  <si>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</si>
  <si>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</si>
  <si>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</si>
  <si>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</si>
  <si>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</si>
  <si>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</si>
  <si>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</si>
  <si>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</si>
  <si>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</si>
  <si>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</si>
  <si>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</si>
  <si>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</si>
  <si>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</si>
  <si>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</si>
  <si>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</si>
  <si>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</si>
  <si>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</si>
  <si>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</si>
  <si>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</si>
  <si>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</si>
  <si>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</si>
  <si>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</si>
  <si>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</si>
  <si>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</si>
  <si>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</si>
  <si>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</si>
  <si>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</si>
  <si>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</si>
  <si>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</si>
  <si>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</si>
  <si>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</si>
  <si>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</si>
  <si>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</si>
  <si>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</si>
  <si>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</si>
  <si>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</si>
  <si>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</si>
  <si>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</si>
  <si>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</si>
  <si>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</si>
  <si>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</si>
  <si>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</si>
  <si>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</si>
  <si>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</si>
  <si>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</si>
  <si>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</si>
  <si>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</si>
  <si>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</si>
  <si>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</si>
  <si>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</si>
  <si>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</si>
  <si>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</si>
  <si>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</si>
  <si>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</si>
  <si>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</si>
  <si>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</si>
  <si>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</si>
  <si>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</si>
  <si>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</si>
  <si>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</si>
  <si>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</si>
  <si>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</si>
  <si>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</si>
  <si>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</si>
  <si>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</si>
  <si>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</si>
  <si>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</si>
  <si>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</si>
  <si>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</si>
  <si>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</si>
  <si>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</si>
  <si>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</si>
  <si>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</si>
  <si>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</si>
  <si>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</si>
  <si>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</si>
  <si>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</si>
  <si>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</si>
  <si>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</si>
  <si>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</si>
  <si>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</si>
  <si>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</si>
  <si>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</si>
  <si>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</si>
  <si>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</si>
  <si>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</si>
  <si>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</si>
  <si>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</si>
  <si>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</si>
  <si>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</si>
  <si>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</si>
  <si>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</si>
  <si>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</si>
  <si>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</si>
  <si>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</si>
  <si>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</si>
  <si>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</si>
  <si>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</si>
  <si>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</si>
  <si>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</si>
  <si>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</si>
  <si>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</si>
  <si>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</si>
  <si>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</si>
  <si>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</si>
  <si>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</si>
  <si>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</si>
  <si>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</si>
  <si>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</si>
  <si>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</si>
  <si>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</si>
  <si>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</si>
  <si>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</si>
  <si>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</si>
  <si>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</si>
  <si>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</si>
  <si>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</si>
  <si>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</si>
  <si>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</si>
  <si>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</si>
  <si>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</si>
  <si>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</si>
  <si>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</si>
  <si>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</si>
  <si>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</si>
  <si>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</si>
  <si>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</si>
  <si>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</si>
  <si>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</si>
  <si>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</si>
  <si>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</si>
  <si>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</si>
  <si>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</si>
  <si>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</si>
  <si>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</si>
  <si>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</si>
  <si>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</si>
  <si>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</si>
  <si>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</si>
  <si>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</si>
  <si>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</si>
  <si>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</si>
  <si>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</si>
  <si>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</si>
  <si>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</si>
  <si>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</si>
  <si>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</si>
  <si>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</si>
  <si>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</si>
  <si>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</si>
  <si>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</si>
  <si>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</si>
  <si>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</si>
  <si>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</si>
  <si>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</si>
  <si>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</si>
  <si>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</si>
  <si>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</si>
  <si>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</si>
  <si>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</si>
  <si>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</si>
  <si>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</si>
  <si>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</si>
  <si>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</si>
  <si>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</si>
  <si>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</si>
  <si>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</si>
  <si>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</si>
  <si>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</si>
  <si>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</si>
  <si>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</si>
  <si>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</si>
  <si>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</si>
  <si>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</si>
  <si>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</si>
  <si>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</si>
  <si>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</si>
  <si>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</si>
  <si>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</si>
  <si>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</si>
  <si>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</si>
  <si>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</si>
  <si>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</si>
  <si>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</si>
  <si>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</si>
  <si>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</si>
  <si>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</si>
  <si>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</si>
  <si>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</si>
  <si>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</si>
  <si>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</si>
  <si>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</si>
  <si>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</si>
  <si>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</si>
  <si>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</si>
  <si>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</si>
  <si>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</si>
  <si>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</si>
  <si>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</si>
  <si>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</si>
  <si>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</si>
  <si>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</si>
  <si>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</si>
  <si>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</si>
  <si>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</si>
  <si>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</si>
  <si>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</si>
  <si>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</si>
  <si>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</si>
  <si>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</si>
  <si>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</si>
  <si>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</si>
  <si>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</si>
  <si>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</si>
  <si>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</si>
  <si>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</si>
  <si>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</si>
  <si>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</si>
  <si>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</si>
  <si>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</si>
  <si>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</si>
  <si>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</si>
  <si>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</si>
  <si>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</si>
  <si>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</si>
  <si>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</si>
  <si>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</si>
  <si>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</si>
  <si>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</si>
  <si>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</si>
  <si>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</si>
  <si>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</si>
  <si>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</si>
  <si>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</si>
  <si>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</si>
  <si>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</si>
  <si>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</si>
  <si>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</si>
  <si>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</si>
  <si>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</si>
  <si>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</si>
  <si>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</si>
  <si>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</si>
  <si>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</si>
  <si>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</si>
  <si>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</si>
  <si>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</si>
  <si>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</si>
  <si>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</si>
  <si>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</si>
  <si>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</si>
  <si>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</si>
  <si>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</si>
  <si>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</si>
  <si>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</si>
  <si>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</si>
  <si>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</si>
  <si>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</si>
  <si>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</si>
  <si>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</si>
  <si>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</si>
  <si>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</si>
  <si>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</si>
  <si>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</si>
  <si>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</si>
  <si>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</si>
  <si>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</si>
  <si>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</si>
  <si>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</si>
  <si>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</si>
  <si>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</si>
  <si>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</si>
  <si>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</si>
  <si>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</si>
  <si>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</si>
  <si>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</si>
  <si>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</si>
  <si>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</si>
  <si>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</si>
  <si>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</si>
  <si>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</si>
  <si>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</si>
  <si>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</si>
  <si>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</si>
  <si>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</si>
  <si>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</si>
  <si>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</si>
  <si>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</si>
  <si>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</si>
  <si>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</si>
  <si>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</si>
  <si>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</si>
  <si>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</si>
  <si>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</si>
  <si>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</si>
  <si>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</si>
  <si>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</si>
  <si>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</si>
  <si>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</si>
  <si>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</si>
  <si>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</si>
  <si>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</si>
  <si>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</si>
  <si>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</si>
  <si>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</si>
  <si>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</si>
  <si>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</si>
  <si>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</si>
  <si>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</si>
  <si>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</si>
  <si>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</si>
  <si>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</si>
  <si>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</si>
  <si>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</si>
  <si>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</si>
  <si>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</si>
  <si>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</si>
  <si>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</si>
  <si>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</si>
  <si>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</si>
  <si>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</si>
  <si>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</si>
  <si>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</si>
  <si>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</si>
  <si>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</si>
  <si>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</si>
  <si>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</si>
  <si>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</si>
  <si>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</si>
  <si>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</si>
  <si>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</si>
  <si>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</si>
  <si>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</si>
  <si>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</si>
  <si>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</si>
  <si>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</si>
  <si>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</si>
  <si>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</si>
  <si>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</si>
  <si>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</si>
  <si>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</si>
  <si>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</si>
  <si>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</si>
  <si>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</si>
  <si>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</si>
  <si>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</si>
  <si>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</si>
  <si>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</si>
  <si>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</si>
  <si>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</si>
  <si>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</si>
  <si>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</si>
  <si>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</si>
  <si>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</si>
  <si>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</si>
  <si>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</si>
  <si>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</si>
  <si>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</si>
  <si>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</si>
  <si>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</si>
  <si>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</si>
  <si>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</si>
  <si>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</si>
  <si>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</si>
  <si>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</si>
  <si>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</si>
  <si>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</si>
  <si>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</si>
  <si>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</si>
  <si>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</si>
  <si>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</si>
  <si>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</si>
  <si>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</si>
  <si>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</si>
  <si>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</si>
  <si>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</si>
  <si>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</si>
  <si>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</si>
  <si>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</si>
  <si>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</si>
  <si>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</si>
  <si>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</si>
  <si>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</si>
  <si>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</si>
  <si>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</si>
  <si>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</si>
  <si>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</si>
  <si>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</si>
  <si>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</si>
  <si>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</si>
  <si>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</si>
  <si>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</si>
  <si>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</si>
  <si>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</si>
  <si>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</si>
  <si>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</si>
  <si>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</si>
  <si>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</si>
  <si>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</si>
  <si>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</si>
  <si>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</si>
  <si>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</si>
  <si>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</si>
  <si>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</si>
  <si>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</si>
  <si>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</si>
  <si>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</si>
  <si>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</si>
  <si>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</si>
  <si>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</si>
  <si>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</si>
  <si>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</si>
  <si>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</si>
  <si>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</si>
  <si>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</si>
  <si>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</si>
  <si>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</si>
  <si>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</si>
  <si>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</si>
  <si>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</si>
  <si>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</si>
  <si>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</si>
  <si>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</si>
  <si>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</si>
  <si>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</si>
  <si>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</si>
  <si>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</si>
  <si>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</si>
  <si>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</si>
  <si>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</si>
  <si>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</si>
  <si>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</si>
  <si>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</si>
  <si>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</si>
  <si>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</si>
  <si>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</si>
  <si>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</si>
  <si>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</si>
  <si>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</si>
  <si>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</si>
  <si>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</si>
  <si>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</si>
  <si>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</si>
  <si>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</si>
  <si>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</si>
  <si>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</si>
  <si>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</si>
  <si>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</si>
  <si>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</si>
  <si>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</si>
  <si>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</si>
  <si>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</si>
  <si>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</si>
  <si>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</si>
  <si>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</si>
  <si>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</si>
  <si>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</si>
  <si>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</si>
  <si>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</si>
  <si>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</si>
  <si>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</si>
  <si>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</si>
  <si>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</si>
  <si>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</si>
  <si>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</si>
  <si>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</si>
  <si>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</si>
  <si>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</si>
  <si>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</si>
  <si>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</si>
  <si>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</si>
  <si>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</si>
  <si>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</si>
  <si>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</si>
  <si>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</si>
  <si>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</si>
  <si>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</si>
  <si>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</si>
  <si>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</si>
  <si>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</si>
  <si>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</si>
  <si>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</si>
  <si>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</si>
  <si>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</si>
  <si>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</si>
  <si>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</si>
  <si>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</si>
  <si>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</si>
  <si>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</si>
  <si>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</si>
  <si>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</si>
  <si>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</si>
  <si>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</si>
  <si>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</si>
  <si>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</si>
  <si>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</si>
  <si>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</si>
  <si>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</si>
  <si>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</si>
  <si>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</si>
  <si>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</si>
  <si>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</si>
  <si>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</si>
  <si>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</si>
  <si>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</si>
  <si>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</si>
  <si>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</si>
  <si>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</si>
  <si>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</si>
  <si>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</si>
  <si>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</si>
  <si>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</si>
  <si>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</si>
  <si>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</si>
  <si>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</si>
  <si>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</si>
  <si>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</si>
  <si>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</si>
  <si>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</si>
  <si>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</si>
  <si>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</si>
  <si>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</si>
  <si>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</si>
  <si>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</si>
  <si>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</si>
  <si>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</si>
  <si>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</si>
  <si>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</si>
  <si>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</si>
  <si>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</si>
  <si>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</si>
  <si>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</si>
  <si>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</si>
  <si>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</si>
  <si>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</si>
  <si>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</si>
  <si>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</si>
  <si>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</si>
  <si>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</si>
  <si>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</si>
  <si>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</si>
  <si>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</si>
  <si>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</si>
  <si>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</si>
  <si>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</si>
  <si>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</si>
  <si>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</si>
  <si>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</si>
  <si>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</si>
  <si>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</si>
  <si>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</si>
  <si>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</si>
  <si>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</si>
  <si>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</si>
  <si>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</si>
  <si>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</si>
  <si>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</si>
  <si>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</si>
  <si>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</si>
  <si>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</si>
  <si>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</si>
  <si>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</si>
  <si>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</si>
  <si>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</si>
  <si>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</si>
  <si>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</si>
  <si>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</si>
  <si>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</si>
  <si>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</si>
  <si>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</si>
  <si>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</si>
  <si>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</si>
  <si>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</si>
  <si>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</si>
  <si>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</si>
  <si>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</si>
  <si>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</si>
  <si>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</si>
  <si>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</si>
  <si>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</si>
  <si>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</si>
  <si>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</si>
  <si>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</si>
  <si>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</si>
  <si>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</si>
  <si>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</si>
  <si>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</si>
  <si>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</si>
  <si>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</si>
  <si>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</si>
  <si>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</si>
  <si>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</si>
  <si>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</si>
  <si>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</si>
  <si>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</si>
  <si>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</si>
  <si>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</si>
  <si>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</si>
  <si>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</si>
  <si>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</si>
  <si>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</si>
  <si>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</si>
  <si>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</si>
  <si>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</si>
  <si>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</si>
  <si>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</si>
  <si>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</si>
  <si>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</si>
  <si>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</si>
  <si>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</si>
  <si>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</si>
  <si>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</si>
  <si>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</si>
  <si>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</si>
  <si>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</si>
  <si>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</si>
  <si>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</si>
  <si>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</si>
  <si>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</si>
  <si>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</si>
  <si>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</si>
  <si>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</si>
  <si>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</si>
  <si>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</si>
  <si>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</si>
  <si>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</si>
  <si>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</si>
  <si>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</si>
  <si>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</si>
  <si>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</si>
  <si>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</si>
  <si>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</si>
  <si>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</si>
  <si>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</si>
  <si>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</si>
  <si>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</si>
  <si>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</si>
  <si>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</si>
  <si>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</si>
  <si>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</si>
  <si>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</si>
  <si>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</si>
  <si>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</si>
  <si>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</si>
  <si>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</si>
  <si>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</si>
  <si>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</si>
  <si>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</si>
  <si>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</si>
  <si>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</si>
  <si>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</si>
  <si>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</si>
  <si>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</si>
  <si>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</si>
  <si>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</si>
  <si>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</si>
  <si>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</si>
  <si>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</si>
  <si>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</si>
  <si>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</si>
  <si>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</si>
  <si>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</si>
  <si>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</si>
  <si>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</si>
  <si>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</si>
  <si>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</si>
  <si>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</si>
  <si>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</si>
  <si>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</si>
  <si>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</si>
  <si>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</si>
  <si>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</si>
  <si>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</si>
  <si>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</si>
  <si>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</si>
  <si>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</si>
  <si>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</si>
  <si>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</si>
  <si>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</si>
  <si>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</si>
  <si>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</si>
  <si>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</si>
  <si>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</si>
  <si>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</si>
  <si>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</si>
  <si>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</si>
  <si>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</si>
  <si>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</si>
  <si>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</si>
  <si>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</si>
  <si>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</si>
  <si>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</si>
  <si>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</si>
  <si>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</si>
  <si>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</si>
  <si>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</si>
  <si>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</si>
  <si>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</si>
  <si>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</si>
  <si>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</si>
  <si>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</si>
  <si>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</si>
  <si>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</si>
  <si>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</si>
  <si>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</si>
  <si>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</si>
  <si>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</si>
  <si>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</si>
  <si>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</si>
  <si>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</si>
  <si>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</si>
  <si>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</si>
  <si>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</si>
  <si>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</si>
  <si>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</si>
  <si>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</si>
  <si>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</si>
  <si>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</si>
  <si>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</si>
  <si>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</si>
  <si>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</si>
  <si>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</si>
  <si>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</si>
  <si>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</si>
  <si>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</si>
  <si>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</si>
  <si>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</si>
  <si>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</si>
  <si>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</si>
  <si>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</si>
  <si>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</si>
  <si>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</si>
  <si>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</si>
  <si>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</si>
  <si>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</si>
  <si>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</si>
  <si>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</si>
  <si>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</si>
  <si>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</si>
  <si>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</si>
  <si>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</si>
  <si>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</si>
  <si>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</si>
  <si>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July 2006</t>
  </si>
  <si>
    <t>July 1999</t>
  </si>
  <si>
    <t>August 201114</t>
  </si>
  <si>
    <t>July 2011</t>
  </si>
  <si>
    <t>Pittsburg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</si>
</sst>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913</v>
      </c>
      <c r="B2" s="21">
        <v>437</v>
      </c>
      <c r="C2" s="21">
        <v>437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217772.09</v>
      </c>
      <c r="G9" s="18">
        <v>6903.5</v>
      </c>
      <c r="H9" s="18"/>
      <c r="I9" s="18"/>
      <c r="J9" s="67">
        <f>SUM(I438)</f>
        <v>477876.81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37004.92</v>
      </c>
      <c r="G12" s="18">
        <v>0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30302.23</v>
      </c>
      <c r="G13" s="18">
        <v>6934.64</v>
      </c>
      <c r="H13" s="18">
        <v>36098.47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4007.42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285079.24</v>
      </c>
      <c r="G19" s="41">
        <f>SUM(G9:G18)</f>
        <v>17845.559999999998</v>
      </c>
      <c r="H19" s="41">
        <f>SUM(H9:H18)</f>
        <v>36098.47</v>
      </c>
      <c r="I19" s="41">
        <f>SUM(I9:I18)</f>
        <v>0</v>
      </c>
      <c r="J19" s="41">
        <f>SUM(J9:J18)</f>
        <v>477876.81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906.45</v>
      </c>
      <c r="H22" s="18">
        <v>36098.47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30378.27</v>
      </c>
      <c r="G24" s="18">
        <v>560.41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4084.17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306.53+664.59+732.17+8376.8+40</f>
        <v>10120.09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44582.53</v>
      </c>
      <c r="G32" s="41">
        <f>SUM(G22:G31)</f>
        <v>1466.8600000000001</v>
      </c>
      <c r="H32" s="41">
        <f>SUM(H22:H31)</f>
        <v>36098.47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4007.42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12371.28</v>
      </c>
      <c r="H47" s="18"/>
      <c r="I47" s="18"/>
      <c r="J47" s="13">
        <f>SUM(I458)</f>
        <v>477876.81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240496.71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240496.71</v>
      </c>
      <c r="G50" s="41">
        <f>SUM(G35:G49)</f>
        <v>16378.7</v>
      </c>
      <c r="H50" s="41">
        <f>SUM(H35:H49)</f>
        <v>0</v>
      </c>
      <c r="I50" s="41">
        <f>SUM(I35:I49)</f>
        <v>0</v>
      </c>
      <c r="J50" s="41">
        <f>SUM(J35:J49)</f>
        <v>477876.81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285079.24</v>
      </c>
      <c r="G51" s="41">
        <f>G50+G32</f>
        <v>17845.560000000001</v>
      </c>
      <c r="H51" s="41">
        <f>H50+H32</f>
        <v>36098.47</v>
      </c>
      <c r="I51" s="41">
        <f>I50+I32</f>
        <v>0</v>
      </c>
      <c r="J51" s="41">
        <f>J50+J32</f>
        <v>477876.81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1608822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1608822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3375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346901.26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350276.26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242.58</v>
      </c>
      <c r="G95" s="18"/>
      <c r="H95" s="18"/>
      <c r="I95" s="18"/>
      <c r="J95" s="18">
        <v>352.66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26873.33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101</v>
      </c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36583.43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2510.83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2521.5500000000002</v>
      </c>
      <c r="G109" s="18"/>
      <c r="H109" s="18">
        <f>484.5</f>
        <v>484.5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41959.390000000007</v>
      </c>
      <c r="G110" s="41">
        <f>SUM(G95:G109)</f>
        <v>26873.33</v>
      </c>
      <c r="H110" s="41">
        <f>SUM(H95:H109)</f>
        <v>484.5</v>
      </c>
      <c r="I110" s="41">
        <f>SUM(I95:I109)</f>
        <v>0</v>
      </c>
      <c r="J110" s="41">
        <f>SUM(J95:J109)</f>
        <v>352.66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2001057.65</v>
      </c>
      <c r="G111" s="41">
        <f>G59+G110</f>
        <v>26873.33</v>
      </c>
      <c r="H111" s="41">
        <f>H59+H78+H93+H110</f>
        <v>484.5</v>
      </c>
      <c r="I111" s="41">
        <f>I59+I110</f>
        <v>0</v>
      </c>
      <c r="J111" s="41">
        <f>J59+J110</f>
        <v>352.66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35370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636641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30.62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672041.62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85234.03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1477.9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85234.03</v>
      </c>
      <c r="G135" s="41">
        <f>SUM(G122:G134)</f>
        <v>1477.9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757275.65</v>
      </c>
      <c r="G139" s="41">
        <f>G120+SUM(G135:G136)</f>
        <v>1477.9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>
        <f>669.82+6747.52</f>
        <v>7417.34</v>
      </c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f>14059.81-30.62</f>
        <v>14029.189999999999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14029.189999999999</v>
      </c>
      <c r="G146" s="41">
        <f>SUM(G144:G145)</f>
        <v>0</v>
      </c>
      <c r="H146" s="41">
        <f>SUM(H144:H145)</f>
        <v>7417.34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52647.81+3074.97</f>
        <v>55722.78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81372.02-55722.78-484.5-669.82-6747.52</f>
        <v>17747.400000000005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25613.119999999999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1351.83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1351.83</v>
      </c>
      <c r="G161" s="41">
        <f>SUM(G149:G160)</f>
        <v>25613.119999999999</v>
      </c>
      <c r="H161" s="41">
        <f>SUM(H149:H160)</f>
        <v>73470.180000000008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15381.019999999999</v>
      </c>
      <c r="G168" s="41">
        <f>G146+G161+SUM(G162:G167)</f>
        <v>25613.119999999999</v>
      </c>
      <c r="H168" s="41">
        <f>H146+H161+SUM(H162:H167)</f>
        <v>80887.520000000004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21600</v>
      </c>
      <c r="H178" s="18"/>
      <c r="I178" s="18"/>
      <c r="J178" s="18">
        <v>25000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21600</v>
      </c>
      <c r="H182" s="41">
        <f>SUM(H178:H181)</f>
        <v>0</v>
      </c>
      <c r="I182" s="41">
        <f>SUM(I178:I181)</f>
        <v>0</v>
      </c>
      <c r="J182" s="41">
        <f>SUM(J178:J181)</f>
        <v>25000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21600</v>
      </c>
      <c r="H191" s="41">
        <f>+H182+SUM(H187:H190)</f>
        <v>0</v>
      </c>
      <c r="I191" s="41">
        <f>I176+I182+SUM(I187:I190)</f>
        <v>0</v>
      </c>
      <c r="J191" s="41">
        <f>J182</f>
        <v>25000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2773714.32</v>
      </c>
      <c r="G192" s="47">
        <f>G111+G139+G168+G191</f>
        <v>75564.350000000006</v>
      </c>
      <c r="H192" s="47">
        <f>H111+H139+H168+H191</f>
        <v>81372.02</v>
      </c>
      <c r="I192" s="47">
        <f>I111+I139+I168+I191</f>
        <v>0</v>
      </c>
      <c r="J192" s="47">
        <f>J111+J139+J191</f>
        <v>25352.66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504418.98+9099+8615.81</f>
        <v>522133.79</v>
      </c>
      <c r="G196" s="18">
        <f>200824.12+1234.28+38296.5+58340.95+162.12+2086.72+2676.4</f>
        <v>303621.08999999997</v>
      </c>
      <c r="H196" s="18">
        <f>2896.56+4166.71+866.55</f>
        <v>7929.8200000000006</v>
      </c>
      <c r="I196" s="18">
        <f>7951.36+3956.52+26.95</f>
        <v>11934.83</v>
      </c>
      <c r="J196" s="18">
        <f>121.35</f>
        <v>121.35</v>
      </c>
      <c r="K196" s="18">
        <f>108.5</f>
        <v>108.5</v>
      </c>
      <c r="L196" s="19">
        <f>SUM(F196:K196)</f>
        <v>845849.37999999977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39911+25503.9+2425.5</f>
        <v>67840.399999999994</v>
      </c>
      <c r="G197" s="18">
        <f>16830.95+4940.92+4820.55+156.31+84.42+7075.46+0.73</f>
        <v>33909.340000000004</v>
      </c>
      <c r="H197" s="18">
        <f>274</f>
        <v>274</v>
      </c>
      <c r="I197" s="18"/>
      <c r="J197" s="18"/>
      <c r="K197" s="18">
        <f>319</f>
        <v>319</v>
      </c>
      <c r="L197" s="19">
        <f>SUM(F197:K197)</f>
        <v>102342.73999999999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242+3676.5</f>
        <v>3918.5</v>
      </c>
      <c r="G199" s="18">
        <f>18.51+27.34+3.55+281.27+229+42</f>
        <v>601.66999999999996</v>
      </c>
      <c r="H199" s="18"/>
      <c r="I199" s="18">
        <f>137.9</f>
        <v>137.9</v>
      </c>
      <c r="J199" s="18"/>
      <c r="K199" s="18">
        <f>1136.37+671.56</f>
        <v>1807.9299999999998</v>
      </c>
      <c r="L199" s="19">
        <f>SUM(F199:K199)</f>
        <v>6466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47180.05</v>
      </c>
      <c r="G201" s="18">
        <v>11452.07</v>
      </c>
      <c r="H201" s="18">
        <v>32131.65</v>
      </c>
      <c r="I201" s="18">
        <v>3585.47</v>
      </c>
      <c r="J201" s="18">
        <f>13444</f>
        <v>13444</v>
      </c>
      <c r="K201" s="18">
        <f>807.81+195.1</f>
        <v>1002.91</v>
      </c>
      <c r="L201" s="19">
        <f t="shared" ref="L201:L207" si="0">SUM(F201:K201)</f>
        <v>108796.15000000001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6120+24059.5</f>
        <v>30179.5</v>
      </c>
      <c r="G202" s="18">
        <f>512.07+784+2920+1917.29+2718.8+64.47+1000</f>
        <v>9916.6299999999992</v>
      </c>
      <c r="H202" s="18">
        <f>1750+282.58</f>
        <v>2032.58</v>
      </c>
      <c r="I202" s="18">
        <f>33.98+169.17+804.79+2786</f>
        <v>3793.94</v>
      </c>
      <c r="J202" s="18"/>
      <c r="K202" s="18">
        <f>428.13+1995+510.54</f>
        <v>2933.67</v>
      </c>
      <c r="L202" s="19">
        <f t="shared" si="0"/>
        <v>48856.32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2085+1000</f>
        <v>3085</v>
      </c>
      <c r="G203" s="18">
        <f>159.54+7.39+76.45+113.1</f>
        <v>356.48</v>
      </c>
      <c r="H203" s="18">
        <f>7701.14+4324.48+778.47+893.06+125134.27</f>
        <v>138831.42000000001</v>
      </c>
      <c r="I203" s="18">
        <f>236.56</f>
        <v>236.56</v>
      </c>
      <c r="J203" s="18"/>
      <c r="K203" s="18">
        <v>2671.49</v>
      </c>
      <c r="L203" s="19">
        <f t="shared" si="0"/>
        <v>145180.95000000001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33990.04+18363.52+2125</f>
        <v>54478.559999999998</v>
      </c>
      <c r="G204" s="18">
        <f>9196.77+4213.7+5342.01+91.09+1848.54</f>
        <v>20692.110000000004</v>
      </c>
      <c r="H204" s="18">
        <f>2754.17+291+2398.87+645.79+481.54+748.77</f>
        <v>7320.1399999999994</v>
      </c>
      <c r="I204" s="18">
        <f>425.1</f>
        <v>425.1</v>
      </c>
      <c r="J204" s="18">
        <f>145.56</f>
        <v>145.56</v>
      </c>
      <c r="K204" s="18">
        <f>607.52</f>
        <v>607.52</v>
      </c>
      <c r="L204" s="19">
        <f t="shared" si="0"/>
        <v>83668.990000000005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26354.58+7486.94</f>
        <v>33841.520000000004</v>
      </c>
      <c r="G206" s="18">
        <f>243.91+2588.85+2353.55+1062.62+126</f>
        <v>6374.9299999999994</v>
      </c>
      <c r="H206" s="18">
        <f>14399.03+4754+1589.23+963.19+18184.52+814.52+6723.5+5260.17+164.29</f>
        <v>52852.45</v>
      </c>
      <c r="I206" s="18">
        <f>7688.26+29232.7+31822.55+220.74</f>
        <v>68964.25</v>
      </c>
      <c r="J206" s="18">
        <f>824.1</f>
        <v>824.1</v>
      </c>
      <c r="K206" s="18">
        <v>277.87</v>
      </c>
      <c r="L206" s="19">
        <f t="shared" si="0"/>
        <v>163135.12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17544.67+80.96+746.85+1987.53</f>
        <v>20360.009999999995</v>
      </c>
      <c r="G207" s="18">
        <f>1373.96+713.55+405+57.15+78+152.04+98</f>
        <v>2877.7000000000003</v>
      </c>
      <c r="H207" s="18">
        <f>6775.38+1120.24+66+36.72</f>
        <v>7998.34</v>
      </c>
      <c r="I207" s="18">
        <f>458.04+136.64+8266.36+185.17+571.21</f>
        <v>9617.4200000000019</v>
      </c>
      <c r="J207" s="18"/>
      <c r="K207" s="18">
        <f>276.34+22.16</f>
        <v>298.5</v>
      </c>
      <c r="L207" s="19">
        <f t="shared" si="0"/>
        <v>41151.97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783017.33000000007</v>
      </c>
      <c r="G210" s="41">
        <f t="shared" si="1"/>
        <v>389802.01999999996</v>
      </c>
      <c r="H210" s="41">
        <f t="shared" si="1"/>
        <v>249370.40000000005</v>
      </c>
      <c r="I210" s="41">
        <f t="shared" si="1"/>
        <v>98695.47</v>
      </c>
      <c r="J210" s="41">
        <f t="shared" si="1"/>
        <v>14535.01</v>
      </c>
      <c r="K210" s="41">
        <f t="shared" si="1"/>
        <v>10027.390000000001</v>
      </c>
      <c r="L210" s="41">
        <f t="shared" si="1"/>
        <v>1545447.6199999999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327680.02+6631.8</f>
        <v>334311.82</v>
      </c>
      <c r="G232" s="18">
        <f>89611.12+496.72+24570.85+37306.99+77.41+993.19+2575.6</f>
        <v>155631.88</v>
      </c>
      <c r="H232" s="18">
        <f>4911+1450.67+175+1980.29</f>
        <v>8516.9599999999991</v>
      </c>
      <c r="I232" s="18">
        <f>5866.25+3332.57</f>
        <v>9198.82</v>
      </c>
      <c r="J232" s="18">
        <f>828.76</f>
        <v>828.76</v>
      </c>
      <c r="K232" s="18">
        <f>35</f>
        <v>35</v>
      </c>
      <c r="L232" s="19">
        <f>SUM(F232:K232)</f>
        <v>508523.24000000005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4435+13150.75</f>
        <v>17585.75</v>
      </c>
      <c r="G233" s="18">
        <f>1459.33+1326.22+501.27+17.37+167.58</f>
        <v>3471.77</v>
      </c>
      <c r="H233" s="18"/>
      <c r="I233" s="18"/>
      <c r="J233" s="18"/>
      <c r="K233" s="18"/>
      <c r="L233" s="19">
        <f>SUM(F233:K233)</f>
        <v>21057.52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f>6750</f>
        <v>6750</v>
      </c>
      <c r="I234" s="18"/>
      <c r="J234" s="18"/>
      <c r="K234" s="18"/>
      <c r="L234" s="19">
        <f>SUM(F234:K234)</f>
        <v>6750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4206.99+18425.5</f>
        <v>22632.489999999998</v>
      </c>
      <c r="G235" s="18">
        <f>321.83+475.4+6.96+1409.56+873.2+21.16</f>
        <v>3108.1099999999997</v>
      </c>
      <c r="H235" s="18">
        <f>2341+6288+684.92</f>
        <v>9313.92</v>
      </c>
      <c r="I235" s="18">
        <f>22.5+1308.61</f>
        <v>1331.11</v>
      </c>
      <c r="J235" s="18">
        <f>561.2</f>
        <v>561.20000000000005</v>
      </c>
      <c r="K235" s="18">
        <f>3537.49+2903.94</f>
        <v>6441.43</v>
      </c>
      <c r="L235" s="19">
        <f>SUM(F235:K235)</f>
        <v>43388.259999999995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28290+46.6+750</f>
        <v>29086.6</v>
      </c>
      <c r="G237" s="18">
        <f>12556.47+2164.24+3196.69+29.67+3.57+57.37+84.75+1</f>
        <v>18093.759999999995</v>
      </c>
      <c r="H237" s="18">
        <f>492.75+1109.62+11414.82+56.1+1972.97</f>
        <v>15046.259999999998</v>
      </c>
      <c r="I237" s="18">
        <f>387.82+273.95+254.02</f>
        <v>915.79</v>
      </c>
      <c r="J237" s="18">
        <f>2187</f>
        <v>2187</v>
      </c>
      <c r="K237" s="18">
        <f>377.19+124.9</f>
        <v>502.09000000000003</v>
      </c>
      <c r="L237" s="19">
        <f t="shared" ref="L237:L243" si="4">SUM(F237:K237)</f>
        <v>65831.5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1963.5+24059.5</f>
        <v>26023</v>
      </c>
      <c r="G238" s="18">
        <f>150.21+221.88+4060+1917.02+2718.8+31.76+1000</f>
        <v>10099.67</v>
      </c>
      <c r="H238" s="18"/>
      <c r="I238" s="18">
        <v>39</v>
      </c>
      <c r="J238" s="18"/>
      <c r="K238" s="18">
        <f>350.87+855+251.46</f>
        <v>1457.33</v>
      </c>
      <c r="L238" s="19">
        <f t="shared" si="4"/>
        <v>37619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1262.5</f>
        <v>1262.5</v>
      </c>
      <c r="G239" s="18">
        <f>96.62+3.65</f>
        <v>100.27000000000001</v>
      </c>
      <c r="H239" s="18">
        <f>3736.86+318.52+371.53+439.87+55565.05</f>
        <v>60431.83</v>
      </c>
      <c r="I239" s="18">
        <f>113.91</f>
        <v>113.91</v>
      </c>
      <c r="J239" s="18"/>
      <c r="K239" s="18">
        <f>1352.9</f>
        <v>1352.9</v>
      </c>
      <c r="L239" s="19">
        <f t="shared" si="4"/>
        <v>63261.41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33989.96+18207.59+2125</f>
        <v>54322.55</v>
      </c>
      <c r="G240" s="18">
        <f>9093.51+4202.56+5317.34+44.87+1848.54</f>
        <v>20506.82</v>
      </c>
      <c r="H240" s="18">
        <f>1136.14+125+1155.28+289.64+225.91+370.16</f>
        <v>3302.1299999999997</v>
      </c>
      <c r="I240" s="18">
        <f>490.62+412.5</f>
        <v>903.12</v>
      </c>
      <c r="J240" s="18"/>
      <c r="K240" s="18">
        <f>266.98</f>
        <v>266.98</v>
      </c>
      <c r="L240" s="19">
        <f t="shared" si="4"/>
        <v>79301.599999999991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21595.98+7417.79</f>
        <v>29013.77</v>
      </c>
      <c r="G242" s="18">
        <f>18046.37+2219.64+1930.39+523.38</f>
        <v>22719.78</v>
      </c>
      <c r="H242" s="18">
        <f>8146.49+2346+781.1+390.51+8086.08+412.98+3311.6+2590.83+81.02</f>
        <v>26146.609999999997</v>
      </c>
      <c r="I242" s="18">
        <f>2717.17+14078.9+15406.48+86.13</f>
        <v>32288.68</v>
      </c>
      <c r="J242" s="18">
        <f>99.98+405.9</f>
        <v>505.88</v>
      </c>
      <c r="K242" s="18">
        <v>134.63</v>
      </c>
      <c r="L242" s="19">
        <f t="shared" si="4"/>
        <v>110809.35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8817.77+424.48+3791.44+1041.01</f>
        <v>14074.7</v>
      </c>
      <c r="G243" s="18">
        <f>719.58+351.45+195+290.04+231+79.64+40</f>
        <v>1906.71</v>
      </c>
      <c r="H243" s="18">
        <f>3313.13+551.76+33.99</f>
        <v>3898.88</v>
      </c>
      <c r="I243" s="18">
        <f>222.03+67.36+1979.56+1744.96+580.42</f>
        <v>4594.33</v>
      </c>
      <c r="J243" s="18"/>
      <c r="K243" s="18">
        <f>214.05</f>
        <v>214.05</v>
      </c>
      <c r="L243" s="19">
        <f t="shared" si="4"/>
        <v>24688.670000000002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528313.17999999993</v>
      </c>
      <c r="G246" s="41">
        <f t="shared" si="5"/>
        <v>235638.76999999996</v>
      </c>
      <c r="H246" s="41">
        <f t="shared" si="5"/>
        <v>133406.59</v>
      </c>
      <c r="I246" s="41">
        <f t="shared" si="5"/>
        <v>49384.76</v>
      </c>
      <c r="J246" s="41">
        <f t="shared" si="5"/>
        <v>4082.84</v>
      </c>
      <c r="K246" s="41">
        <f t="shared" si="5"/>
        <v>10404.409999999998</v>
      </c>
      <c r="L246" s="41">
        <f t="shared" si="5"/>
        <v>961230.55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1311330.51</v>
      </c>
      <c r="G256" s="41">
        <f t="shared" si="8"/>
        <v>625440.78999999992</v>
      </c>
      <c r="H256" s="41">
        <f t="shared" si="8"/>
        <v>382776.99000000005</v>
      </c>
      <c r="I256" s="41">
        <f t="shared" si="8"/>
        <v>148080.23000000001</v>
      </c>
      <c r="J256" s="41">
        <f t="shared" si="8"/>
        <v>18617.849999999999</v>
      </c>
      <c r="K256" s="41">
        <f t="shared" si="8"/>
        <v>20431.8</v>
      </c>
      <c r="L256" s="41">
        <f t="shared" si="8"/>
        <v>2506678.17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228000</v>
      </c>
      <c r="L259" s="19">
        <f>SUM(F259:K259)</f>
        <v>228000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36820</v>
      </c>
      <c r="L260" s="19">
        <f>SUM(F260:K260)</f>
        <v>36820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f>15400+6200</f>
        <v>21600</v>
      </c>
      <c r="L262" s="19">
        <f>SUM(F262:K262)</f>
        <v>21600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25000</v>
      </c>
      <c r="L265" s="19">
        <f t="shared" si="9"/>
        <v>25000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311420</v>
      </c>
      <c r="L269" s="41">
        <f t="shared" si="9"/>
        <v>311420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1311330.51</v>
      </c>
      <c r="G270" s="42">
        <f t="shared" si="11"/>
        <v>625440.78999999992</v>
      </c>
      <c r="H270" s="42">
        <f t="shared" si="11"/>
        <v>382776.99000000005</v>
      </c>
      <c r="I270" s="42">
        <f t="shared" si="11"/>
        <v>148080.23000000001</v>
      </c>
      <c r="J270" s="42">
        <f t="shared" si="11"/>
        <v>18617.849999999999</v>
      </c>
      <c r="K270" s="42">
        <f t="shared" si="11"/>
        <v>331851.8</v>
      </c>
      <c r="L270" s="42">
        <f t="shared" si="11"/>
        <v>2818098.17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39760</f>
        <v>39760</v>
      </c>
      <c r="G276" s="18">
        <f>3041+4492.81</f>
        <v>7533.81</v>
      </c>
      <c r="H276" s="18">
        <f>5000+354</f>
        <v>5354</v>
      </c>
      <c r="I276" s="18"/>
      <c r="J276" s="18"/>
      <c r="K276" s="18"/>
      <c r="L276" s="19">
        <f>SUM(F276:K276)</f>
        <v>52647.81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f>484.5+100+77</f>
        <v>661.5</v>
      </c>
      <c r="I280" s="18"/>
      <c r="J280" s="18">
        <f>2633.4</f>
        <v>2633.4</v>
      </c>
      <c r="K280" s="18"/>
      <c r="L280" s="19">
        <f t="shared" ref="L280:L286" si="12">SUM(F280:K280)</f>
        <v>3294.9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2528.75+663+161</f>
        <v>3352.75</v>
      </c>
      <c r="G281" s="18">
        <f>193.46+352.76+6.82+12.31</f>
        <v>565.35</v>
      </c>
      <c r="H281" s="18">
        <f>2000+317.76+4900+1328+1224.24+4800+77+3765+2309.21</f>
        <v>20721.21</v>
      </c>
      <c r="I281" s="18"/>
      <c r="J281" s="18"/>
      <c r="K281" s="18">
        <f>130+160+500</f>
        <v>790</v>
      </c>
      <c r="L281" s="19">
        <f t="shared" si="12"/>
        <v>25429.309999999998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43112.75</v>
      </c>
      <c r="G289" s="42">
        <f t="shared" si="13"/>
        <v>8099.1600000000008</v>
      </c>
      <c r="H289" s="42">
        <f t="shared" si="13"/>
        <v>26736.71</v>
      </c>
      <c r="I289" s="42">
        <f t="shared" si="13"/>
        <v>0</v>
      </c>
      <c r="J289" s="42">
        <f t="shared" si="13"/>
        <v>2633.4</v>
      </c>
      <c r="K289" s="42">
        <f t="shared" si="13"/>
        <v>790</v>
      </c>
      <c r="L289" s="41">
        <f t="shared" si="13"/>
        <v>81372.01999999999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43112.75</v>
      </c>
      <c r="G337" s="41">
        <f t="shared" si="20"/>
        <v>8099.1600000000008</v>
      </c>
      <c r="H337" s="41">
        <f t="shared" si="20"/>
        <v>26736.71</v>
      </c>
      <c r="I337" s="41">
        <f t="shared" si="20"/>
        <v>0</v>
      </c>
      <c r="J337" s="41">
        <f t="shared" si="20"/>
        <v>2633.4</v>
      </c>
      <c r="K337" s="41">
        <f t="shared" si="20"/>
        <v>790</v>
      </c>
      <c r="L337" s="41">
        <f t="shared" si="20"/>
        <v>81372.01999999999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43112.75</v>
      </c>
      <c r="G351" s="41">
        <f>G337</f>
        <v>8099.1600000000008</v>
      </c>
      <c r="H351" s="41">
        <f>H337</f>
        <v>26736.71</v>
      </c>
      <c r="I351" s="41">
        <f>I337</f>
        <v>0</v>
      </c>
      <c r="J351" s="41">
        <f>J337</f>
        <v>2633.4</v>
      </c>
      <c r="K351" s="47">
        <f>K337+K350</f>
        <v>790</v>
      </c>
      <c r="L351" s="41">
        <f>L337+L350</f>
        <v>81372.01999999999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15434.25+3736.71</f>
        <v>19170.96</v>
      </c>
      <c r="G357" s="18">
        <f>1466.67+50.53+176.4</f>
        <v>1693.6000000000001</v>
      </c>
      <c r="H357" s="18">
        <f>765.51+50.39</f>
        <v>815.9</v>
      </c>
      <c r="I357" s="18">
        <f>2199.35+22788.44+554.32</f>
        <v>25542.109999999997</v>
      </c>
      <c r="J357" s="18"/>
      <c r="K357" s="18">
        <f>128.76</f>
        <v>128.76</v>
      </c>
      <c r="L357" s="13">
        <f>SUM(F357:K357)</f>
        <v>47351.329999999994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15443.86</f>
        <v>15443.86</v>
      </c>
      <c r="G359" s="18">
        <f>1181.48+24.89+75.6</f>
        <v>1281.97</v>
      </c>
      <c r="H359" s="18">
        <f>186.6+24.82</f>
        <v>211.42</v>
      </c>
      <c r="I359" s="18">
        <f>943.32+11028.8+273.42</f>
        <v>12245.539999999999</v>
      </c>
      <c r="J359" s="18"/>
      <c r="K359" s="18">
        <v>26.49</v>
      </c>
      <c r="L359" s="19">
        <f>SUM(F359:K359)</f>
        <v>29209.280000000002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34614.82</v>
      </c>
      <c r="G361" s="47">
        <f t="shared" si="22"/>
        <v>2975.57</v>
      </c>
      <c r="H361" s="47">
        <f t="shared" si="22"/>
        <v>1027.32</v>
      </c>
      <c r="I361" s="47">
        <f t="shared" si="22"/>
        <v>37787.649999999994</v>
      </c>
      <c r="J361" s="47">
        <f t="shared" si="22"/>
        <v>0</v>
      </c>
      <c r="K361" s="47">
        <f t="shared" si="22"/>
        <v>155.25</v>
      </c>
      <c r="L361" s="47">
        <f t="shared" si="22"/>
        <v>76560.61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22788.44</v>
      </c>
      <c r="G366" s="18"/>
      <c r="H366" s="18">
        <v>11028.8</v>
      </c>
      <c r="I366" s="56">
        <f>SUM(F366:H366)</f>
        <v>33817.24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2199.35+554.32</f>
        <v>2753.67</v>
      </c>
      <c r="G367" s="63"/>
      <c r="H367" s="63">
        <f>943.32+273.42</f>
        <v>1216.74</v>
      </c>
      <c r="I367" s="56">
        <f>SUM(F367:H367)</f>
        <v>3970.41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25542.11</v>
      </c>
      <c r="G368" s="47">
        <f>SUM(G366:G367)</f>
        <v>0</v>
      </c>
      <c r="H368" s="47">
        <f>SUM(H366:H367)</f>
        <v>12245.539999999999</v>
      </c>
      <c r="I368" s="47">
        <f>SUM(I366:I367)</f>
        <v>37787.649999999994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10000</v>
      </c>
      <c r="H395" s="18">
        <f>2.28+24.84+50.94</f>
        <v>78.06</v>
      </c>
      <c r="I395" s="18"/>
      <c r="J395" s="24" t="s">
        <v>289</v>
      </c>
      <c r="K395" s="24" t="s">
        <v>289</v>
      </c>
      <c r="L395" s="56">
        <f t="shared" si="26"/>
        <v>10078.06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10000</v>
      </c>
      <c r="H397" s="18">
        <v>62.07</v>
      </c>
      <c r="I397" s="18"/>
      <c r="J397" s="24" t="s">
        <v>289</v>
      </c>
      <c r="K397" s="24" t="s">
        <v>289</v>
      </c>
      <c r="L397" s="56">
        <f t="shared" si="26"/>
        <v>10062.07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>
        <v>3.29</v>
      </c>
      <c r="I398" s="18"/>
      <c r="J398" s="24" t="s">
        <v>289</v>
      </c>
      <c r="K398" s="24" t="s">
        <v>289</v>
      </c>
      <c r="L398" s="56">
        <f t="shared" si="26"/>
        <v>3.29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5000</v>
      </c>
      <c r="H399" s="18">
        <f>3.12+194.5+5.26+6.36</f>
        <v>209.24</v>
      </c>
      <c r="I399" s="18"/>
      <c r="J399" s="24" t="s">
        <v>289</v>
      </c>
      <c r="K399" s="24" t="s">
        <v>289</v>
      </c>
      <c r="L399" s="56">
        <f t="shared" si="26"/>
        <v>5209.24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25000</v>
      </c>
      <c r="H400" s="47">
        <f>SUM(H394:H399)</f>
        <v>352.65999999999997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25352.659999999996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25000</v>
      </c>
      <c r="H407" s="47">
        <f>H392+H400+H406</f>
        <v>352.65999999999997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25352.659999999996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>
        <v>484.5</v>
      </c>
      <c r="I425" s="18"/>
      <c r="J425" s="18"/>
      <c r="K425" s="18"/>
      <c r="L425" s="56">
        <f t="shared" si="29"/>
        <v>484.5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484.5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484.5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484.5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484.5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477876.81</v>
      </c>
      <c r="H438" s="18"/>
      <c r="I438" s="56">
        <f t="shared" ref="I438:I444" si="33">SUM(F438:H438)</f>
        <v>477876.81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477876.81</v>
      </c>
      <c r="H445" s="13">
        <f>SUM(H438:H444)</f>
        <v>0</v>
      </c>
      <c r="I445" s="13">
        <f>SUM(I438:I444)</f>
        <v>477876.81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477876.81</v>
      </c>
      <c r="H458" s="18"/>
      <c r="I458" s="56">
        <f t="shared" si="34"/>
        <v>477876.81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477876.81</v>
      </c>
      <c r="H459" s="83">
        <f>SUM(H453:H458)</f>
        <v>0</v>
      </c>
      <c r="I459" s="83">
        <f>SUM(I453:I458)</f>
        <v>477876.81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477876.81</v>
      </c>
      <c r="H460" s="42">
        <f>H451+H459</f>
        <v>0</v>
      </c>
      <c r="I460" s="42">
        <f>I451+I459</f>
        <v>477876.81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284880.56</v>
      </c>
      <c r="G464" s="18">
        <v>16951.400000000001</v>
      </c>
      <c r="H464" s="18"/>
      <c r="I464" s="18"/>
      <c r="J464" s="18">
        <v>453008.65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2773714.32</v>
      </c>
      <c r="G467" s="18">
        <v>75564.350000000006</v>
      </c>
      <c r="H467" s="18">
        <v>81372.02</v>
      </c>
      <c r="I467" s="18"/>
      <c r="J467" s="18">
        <f>25000+352.66</f>
        <v>25352.66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>
        <v>423.56</v>
      </c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2773714.32</v>
      </c>
      <c r="G469" s="53">
        <f>SUM(G467:G468)</f>
        <v>75987.91</v>
      </c>
      <c r="H469" s="53">
        <f>SUM(H467:H468)</f>
        <v>81372.02</v>
      </c>
      <c r="I469" s="53">
        <f>SUM(I467:I468)</f>
        <v>0</v>
      </c>
      <c r="J469" s="53">
        <f>SUM(J467:J468)</f>
        <v>25352.66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2818098.17</v>
      </c>
      <c r="G471" s="18">
        <v>76560.61</v>
      </c>
      <c r="H471" s="18">
        <v>81372.02</v>
      </c>
      <c r="I471" s="18"/>
      <c r="J471" s="18">
        <v>484.5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2818098.17</v>
      </c>
      <c r="G473" s="53">
        <f>SUM(G471:G472)</f>
        <v>76560.61</v>
      </c>
      <c r="H473" s="53">
        <f>SUM(H471:H472)</f>
        <v>81372.02</v>
      </c>
      <c r="I473" s="53">
        <f>SUM(I471:I472)</f>
        <v>0</v>
      </c>
      <c r="J473" s="53">
        <f>SUM(J471:J472)</f>
        <v>484.5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240496.70999999996</v>
      </c>
      <c r="G475" s="53">
        <f>(G464+G469)- G473</f>
        <v>16378.699999999997</v>
      </c>
      <c r="H475" s="53">
        <f>(H464+H469)- H473</f>
        <v>0</v>
      </c>
      <c r="I475" s="53">
        <f>(I464+I469)- I473</f>
        <v>0</v>
      </c>
      <c r="J475" s="53">
        <f>(J464+J469)- J473</f>
        <v>477876.81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>
        <v>5</v>
      </c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909</v>
      </c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912</v>
      </c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3010000</v>
      </c>
      <c r="G492" s="18">
        <v>148000</v>
      </c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5.25</v>
      </c>
      <c r="G493" s="18">
        <v>4.25</v>
      </c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790000</v>
      </c>
      <c r="G494" s="18">
        <v>29000</v>
      </c>
      <c r="H494" s="18"/>
      <c r="I494" s="18"/>
      <c r="J494" s="18"/>
      <c r="K494" s="53">
        <f>SUM(F494:J494)</f>
        <v>819000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200000</v>
      </c>
      <c r="G496" s="18">
        <v>29000</v>
      </c>
      <c r="H496" s="18"/>
      <c r="I496" s="18"/>
      <c r="J496" s="18"/>
      <c r="K496" s="53">
        <f t="shared" si="35"/>
        <v>229000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590000</v>
      </c>
      <c r="G497" s="205">
        <v>0</v>
      </c>
      <c r="H497" s="205"/>
      <c r="I497" s="205"/>
      <c r="J497" s="205"/>
      <c r="K497" s="206">
        <f t="shared" si="35"/>
        <v>590000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46200</v>
      </c>
      <c r="G498" s="18">
        <v>0</v>
      </c>
      <c r="H498" s="18"/>
      <c r="I498" s="18"/>
      <c r="J498" s="18"/>
      <c r="K498" s="53">
        <f t="shared" si="35"/>
        <v>46200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636200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636200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200000</v>
      </c>
      <c r="G500" s="205"/>
      <c r="H500" s="205"/>
      <c r="I500" s="205"/>
      <c r="J500" s="205"/>
      <c r="K500" s="206">
        <f t="shared" si="35"/>
        <v>200000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15487.5+10237.5</f>
        <v>25725</v>
      </c>
      <c r="G501" s="18"/>
      <c r="H501" s="18"/>
      <c r="I501" s="18"/>
      <c r="J501" s="18"/>
      <c r="K501" s="53">
        <f t="shared" si="35"/>
        <v>25725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225725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225725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39911+25503.9+2425.5</f>
        <v>67840.399999999994</v>
      </c>
      <c r="G520" s="18">
        <f>16830.95+4940.92+4820.55+156.31+84.42</f>
        <v>26833.15</v>
      </c>
      <c r="H520" s="18"/>
      <c r="I520" s="18"/>
      <c r="J520" s="18"/>
      <c r="K520" s="18"/>
      <c r="L520" s="88">
        <f>SUM(F520:K520)</f>
        <v>94673.549999999988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4435+13150.75</f>
        <v>17585.75</v>
      </c>
      <c r="G522" s="18">
        <f>1459.33+1326.22+501.27+17.37+167.58</f>
        <v>3471.77</v>
      </c>
      <c r="H522" s="18"/>
      <c r="I522" s="18"/>
      <c r="J522" s="18"/>
      <c r="K522" s="18"/>
      <c r="L522" s="88">
        <f>SUM(F522:K522)</f>
        <v>21057.52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85426.15</v>
      </c>
      <c r="G523" s="108">
        <f t="shared" ref="G523:L523" si="36">SUM(G520:G522)</f>
        <v>30304.920000000002</v>
      </c>
      <c r="H523" s="108">
        <f t="shared" si="36"/>
        <v>0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115731.06999999999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4142.23+7358.08+5375.19</f>
        <v>16875.5</v>
      </c>
      <c r="G525" s="18">
        <f>879.81+31.78+411.19+15.55</f>
        <v>1338.33</v>
      </c>
      <c r="H525" s="18">
        <f>2817.5+202.15-38.25+15610</f>
        <v>18591.400000000001</v>
      </c>
      <c r="I525" s="18">
        <f>595.67+280.35+33.16+279.39</f>
        <v>1188.57</v>
      </c>
      <c r="J525" s="18"/>
      <c r="K525" s="18"/>
      <c r="L525" s="88">
        <f>SUM(F525:K525)</f>
        <v>37993.800000000003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46.6</v>
      </c>
      <c r="G527" s="18">
        <v>3.57</v>
      </c>
      <c r="H527" s="18">
        <v>6690</v>
      </c>
      <c r="I527" s="18"/>
      <c r="J527" s="18"/>
      <c r="K527" s="18"/>
      <c r="L527" s="88">
        <f>SUM(F527:K527)</f>
        <v>6740.17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16922.099999999999</v>
      </c>
      <c r="G528" s="89">
        <f t="shared" ref="G528:L528" si="37">SUM(G525:G527)</f>
        <v>1341.8999999999999</v>
      </c>
      <c r="H528" s="89">
        <f t="shared" si="37"/>
        <v>25281.4</v>
      </c>
      <c r="I528" s="89">
        <f t="shared" si="37"/>
        <v>1188.57</v>
      </c>
      <c r="J528" s="89">
        <f t="shared" si="37"/>
        <v>0</v>
      </c>
      <c r="K528" s="89">
        <f t="shared" si="37"/>
        <v>0</v>
      </c>
      <c r="L528" s="89">
        <f t="shared" si="37"/>
        <v>44733.97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31787</v>
      </c>
      <c r="I530" s="18"/>
      <c r="J530" s="18"/>
      <c r="K530" s="18"/>
      <c r="L530" s="88">
        <f>SUM(F530:K530)</f>
        <v>31787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13623</v>
      </c>
      <c r="I532" s="18"/>
      <c r="J532" s="18"/>
      <c r="K532" s="18"/>
      <c r="L532" s="88">
        <f>SUM(F532:K532)</f>
        <v>13623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45410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45410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102348.25</v>
      </c>
      <c r="G544" s="89">
        <f t="shared" ref="G544:L544" si="41">G523+G528+G533+G538+G543</f>
        <v>31646.820000000003</v>
      </c>
      <c r="H544" s="89">
        <f t="shared" si="41"/>
        <v>70691.399999999994</v>
      </c>
      <c r="I544" s="89">
        <f t="shared" si="41"/>
        <v>1188.57</v>
      </c>
      <c r="J544" s="89">
        <f t="shared" si="41"/>
        <v>0</v>
      </c>
      <c r="K544" s="89">
        <f t="shared" si="41"/>
        <v>0</v>
      </c>
      <c r="L544" s="89">
        <f t="shared" si="41"/>
        <v>205875.03999999998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94673.549999999988</v>
      </c>
      <c r="G548" s="87">
        <f>L525</f>
        <v>37993.800000000003</v>
      </c>
      <c r="H548" s="87">
        <f>L530</f>
        <v>31787</v>
      </c>
      <c r="I548" s="87">
        <f>L535</f>
        <v>0</v>
      </c>
      <c r="J548" s="87">
        <f>L540</f>
        <v>0</v>
      </c>
      <c r="K548" s="87">
        <f>SUM(F548:J548)</f>
        <v>164454.34999999998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21057.52</v>
      </c>
      <c r="G550" s="87">
        <f>L527</f>
        <v>6740.17</v>
      </c>
      <c r="H550" s="87">
        <f>L532</f>
        <v>13623</v>
      </c>
      <c r="I550" s="87">
        <f>L537</f>
        <v>0</v>
      </c>
      <c r="J550" s="87">
        <f>L542</f>
        <v>0</v>
      </c>
      <c r="K550" s="87">
        <f>SUM(F550:J550)</f>
        <v>41420.69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115731.06999999999</v>
      </c>
      <c r="G551" s="89">
        <f t="shared" si="42"/>
        <v>44733.97</v>
      </c>
      <c r="H551" s="89">
        <f t="shared" si="42"/>
        <v>45410</v>
      </c>
      <c r="I551" s="89">
        <f t="shared" si="42"/>
        <v>0</v>
      </c>
      <c r="J551" s="89">
        <f t="shared" si="42"/>
        <v>0</v>
      </c>
      <c r="K551" s="89">
        <f t="shared" si="42"/>
        <v>205875.03999999998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>
        <v>6750</v>
      </c>
      <c r="I584" s="87">
        <f t="shared" si="47"/>
        <v>6750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37253.86</v>
      </c>
      <c r="I590" s="18"/>
      <c r="J590" s="18">
        <v>16890.16</v>
      </c>
      <c r="K590" s="104">
        <f t="shared" ref="K590:K596" si="48">SUM(H590:J590)</f>
        <v>54144.020000000004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1067.17</v>
      </c>
      <c r="I593" s="18"/>
      <c r="J593" s="18">
        <v>6057.44</v>
      </c>
      <c r="K593" s="104">
        <f t="shared" si="48"/>
        <v>7124.61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2830.94</v>
      </c>
      <c r="I594" s="18"/>
      <c r="J594" s="18">
        <v>1741.07</v>
      </c>
      <c r="K594" s="104">
        <f t="shared" si="48"/>
        <v>4572.01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41151.97</v>
      </c>
      <c r="I597" s="108">
        <f>SUM(I590:I596)</f>
        <v>0</v>
      </c>
      <c r="J597" s="108">
        <f>SUM(J590:J596)</f>
        <v>24688.67</v>
      </c>
      <c r="K597" s="108">
        <f>SUM(K590:K596)</f>
        <v>65840.639999999999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17168.41</v>
      </c>
      <c r="I603" s="18"/>
      <c r="J603" s="18">
        <v>4082.84</v>
      </c>
      <c r="K603" s="104">
        <f>SUM(H603:J603)</f>
        <v>21251.25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17168.41</v>
      </c>
      <c r="I604" s="108">
        <f>SUM(I601:I603)</f>
        <v>0</v>
      </c>
      <c r="J604" s="108">
        <f>SUM(J601:J603)</f>
        <v>4082.84</v>
      </c>
      <c r="K604" s="108">
        <f>SUM(K601:K603)</f>
        <v>21251.25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285079.24</v>
      </c>
      <c r="H616" s="109">
        <f>SUM(F51)</f>
        <v>285079.24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17845.559999999998</v>
      </c>
      <c r="H617" s="109">
        <f>SUM(G51)</f>
        <v>17845.560000000001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36098.47</v>
      </c>
      <c r="H618" s="109">
        <f>SUM(H51)</f>
        <v>36098.47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477876.81</v>
      </c>
      <c r="H620" s="109">
        <f>SUM(J51)</f>
        <v>477876.81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240496.71</v>
      </c>
      <c r="H621" s="109">
        <f>F475</f>
        <v>240496.70999999996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16378.7</v>
      </c>
      <c r="H622" s="109">
        <f>G475</f>
        <v>16378.699999999997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477876.81</v>
      </c>
      <c r="H625" s="109">
        <f>J475</f>
        <v>477876.81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2773714.32</v>
      </c>
      <c r="H626" s="104">
        <f>SUM(F467)</f>
        <v>2773714.32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75564.350000000006</v>
      </c>
      <c r="H627" s="104">
        <f>SUM(G467)</f>
        <v>75564.350000000006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81372.02</v>
      </c>
      <c r="H628" s="104">
        <f>SUM(H467)</f>
        <v>81372.02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25352.66</v>
      </c>
      <c r="H630" s="104">
        <f>SUM(J467)</f>
        <v>25352.66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2818098.17</v>
      </c>
      <c r="H631" s="104">
        <f>SUM(F471)</f>
        <v>2818098.17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81372.01999999999</v>
      </c>
      <c r="H632" s="104">
        <f>SUM(H471)</f>
        <v>81372.02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37787.649999999994</v>
      </c>
      <c r="H633" s="104">
        <f>I368</f>
        <v>37787.649999999994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76560.61</v>
      </c>
      <c r="H634" s="104">
        <f>SUM(G471)</f>
        <v>76560.61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25352.659999999996</v>
      </c>
      <c r="H636" s="164">
        <f>SUM(J467)</f>
        <v>25352.66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484.5</v>
      </c>
      <c r="H637" s="164">
        <f>SUM(J471)</f>
        <v>484.5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477876.81</v>
      </c>
      <c r="H639" s="104">
        <f>SUM(G460)</f>
        <v>477876.81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477876.81</v>
      </c>
      <c r="H641" s="104">
        <f>SUM(I460)</f>
        <v>477876.81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352.66</v>
      </c>
      <c r="H643" s="104">
        <f>H407</f>
        <v>352.65999999999997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25000</v>
      </c>
      <c r="H644" s="104">
        <f>G407</f>
        <v>25000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25352.66</v>
      </c>
      <c r="H645" s="104">
        <f>L407</f>
        <v>25352.659999999996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65840.639999999999</v>
      </c>
      <c r="H646" s="104">
        <f>L207+L225+L243</f>
        <v>65840.639999999999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21251.25</v>
      </c>
      <c r="H647" s="104">
        <f>(J256+J337)-(J254+J335)</f>
        <v>21251.25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41151.97</v>
      </c>
      <c r="H648" s="104">
        <f>H597</f>
        <v>41151.97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24688.670000000002</v>
      </c>
      <c r="H650" s="104">
        <f>J597</f>
        <v>24688.67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21600</v>
      </c>
      <c r="H651" s="104">
        <f>K262+K344</f>
        <v>21600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25000</v>
      </c>
      <c r="H654" s="104">
        <f>K265+K346</f>
        <v>25000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1674170.97</v>
      </c>
      <c r="G659" s="19">
        <f>(L228+L308+L358)</f>
        <v>0</v>
      </c>
      <c r="H659" s="19">
        <f>(L246+L327+L359)</f>
        <v>990439.83000000007</v>
      </c>
      <c r="I659" s="19">
        <f>SUM(F659:H659)</f>
        <v>2664610.7999999998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16620.660637747005</v>
      </c>
      <c r="G660" s="19">
        <f>(L358/IF(SUM(L357:L359)=0,1,SUM(L357:L359))*(SUM(G96:G109)))</f>
        <v>0</v>
      </c>
      <c r="H660" s="19">
        <f>(L359/IF(SUM(L357:L359)=0,1,SUM(L357:L359))*(SUM(G96:G109)))</f>
        <v>10252.669362252993</v>
      </c>
      <c r="I660" s="19">
        <f>SUM(F660:H660)</f>
        <v>26873.329999999998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41151.97</v>
      </c>
      <c r="G661" s="19">
        <f>(L225+L305)-(J225+J305)</f>
        <v>0</v>
      </c>
      <c r="H661" s="19">
        <f>(L243+L324)-(J243+J324)</f>
        <v>24688.670000000002</v>
      </c>
      <c r="I661" s="19">
        <f>SUM(F661:H661)</f>
        <v>65840.639999999999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17168.41</v>
      </c>
      <c r="G662" s="200">
        <f>SUM(G574:G586)+SUM(I601:I603)+L611</f>
        <v>0</v>
      </c>
      <c r="H662" s="200">
        <f>SUM(H574:H586)+SUM(J601:J603)+L612</f>
        <v>10832.84</v>
      </c>
      <c r="I662" s="19">
        <f>SUM(F662:H662)</f>
        <v>28001.25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1599229.9293622531</v>
      </c>
      <c r="G663" s="19">
        <f>G659-SUM(G660:G662)</f>
        <v>0</v>
      </c>
      <c r="H663" s="19">
        <f>H659-SUM(H660:H662)</f>
        <v>944665.65063774702</v>
      </c>
      <c r="I663" s="19">
        <f>I659-SUM(I660:I662)</f>
        <v>2543895.5799999996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f>4+66.95</f>
        <v>70.95</v>
      </c>
      <c r="G664" s="249"/>
      <c r="H664" s="249">
        <v>33.93</v>
      </c>
      <c r="I664" s="19">
        <f>SUM(F664:H664)</f>
        <v>104.88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22540.240000000002</v>
      </c>
      <c r="G666" s="19" t="e">
        <f>ROUND(G663/G664,2)</f>
        <v>#DIV/0!</v>
      </c>
      <c r="H666" s="19">
        <f>ROUND(H663/H664,2)</f>
        <v>27841.599999999999</v>
      </c>
      <c r="I666" s="19">
        <f>ROUND(I663/I664,2)</f>
        <v>24255.3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-0.45</v>
      </c>
      <c r="I669" s="19">
        <f>SUM(F669:H669)</f>
        <v>-0.45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22540.240000000002</v>
      </c>
      <c r="G671" s="19" t="e">
        <f>ROUND((G663+G668)/(G664+G669),2)</f>
        <v>#DIV/0!</v>
      </c>
      <c r="H671" s="19">
        <f>ROUND((H663+H668)/(H664+H669),2)</f>
        <v>28215.82</v>
      </c>
      <c r="I671" s="19">
        <f>ROUND((I663+I668)/(I664+I669),2)</f>
        <v>24359.82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6" workbookViewId="0">
      <selection activeCell="B49" sqref="B49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Pittsburg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856445.61</v>
      </c>
      <c r="C9" s="230">
        <f>'DOE25'!G196+'DOE25'!G214+'DOE25'!G232+'DOE25'!G275+'DOE25'!G294+'DOE25'!G313</f>
        <v>459252.97</v>
      </c>
    </row>
    <row r="10" spans="1:3">
      <c r="A10" t="s">
        <v>779</v>
      </c>
      <c r="B10" s="241">
        <f>504418.98+327680.02</f>
        <v>832099</v>
      </c>
      <c r="C10" s="241">
        <f>459252.97-1875</f>
        <v>457377.97</v>
      </c>
    </row>
    <row r="11" spans="1:3">
      <c r="A11" t="s">
        <v>780</v>
      </c>
      <c r="B11" s="241">
        <f>9099</f>
        <v>9099</v>
      </c>
      <c r="C11" s="241">
        <v>701</v>
      </c>
    </row>
    <row r="12" spans="1:3">
      <c r="A12" t="s">
        <v>781</v>
      </c>
      <c r="B12" s="241">
        <f>8615.81+6631.8</f>
        <v>15247.61</v>
      </c>
      <c r="C12" s="241">
        <v>1174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856445.61</v>
      </c>
      <c r="C13" s="232">
        <f>SUM(C10:C12)</f>
        <v>459252.97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125186.15</v>
      </c>
      <c r="C18" s="230">
        <f>'DOE25'!G197+'DOE25'!G215+'DOE25'!G233+'DOE25'!G276+'DOE25'!G295+'DOE25'!G314</f>
        <v>44914.92</v>
      </c>
    </row>
    <row r="19" spans="1:3">
      <c r="A19" t="s">
        <v>779</v>
      </c>
      <c r="B19" s="241">
        <f>125186.15-21080.15</f>
        <v>104106</v>
      </c>
      <c r="C19" s="241">
        <v>43291.92</v>
      </c>
    </row>
    <row r="20" spans="1:3">
      <c r="A20" t="s">
        <v>780</v>
      </c>
      <c r="B20" s="241">
        <f>5503.9+2425.5+13150.75</f>
        <v>21080.15</v>
      </c>
      <c r="C20" s="241">
        <v>1623</v>
      </c>
    </row>
    <row r="21" spans="1:3">
      <c r="A21" t="s">
        <v>781</v>
      </c>
      <c r="B21" s="241">
        <v>0</v>
      </c>
      <c r="C21" s="241">
        <v>0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125186.15</v>
      </c>
      <c r="C22" s="232">
        <f>SUM(C19:C21)</f>
        <v>44914.92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26550.989999999998</v>
      </c>
      <c r="C36" s="236">
        <f>'DOE25'!G199+'DOE25'!G217+'DOE25'!G235+'DOE25'!G278+'DOE25'!G297+'DOE25'!G316</f>
        <v>3709.7799999999997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>
        <v>26550.99</v>
      </c>
      <c r="C39" s="241">
        <v>3709.78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26550.99</v>
      </c>
      <c r="C40" s="232">
        <f>SUM(C37:C39)</f>
        <v>3709.78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2" activePane="bottomLeft" state="frozen"/>
      <selection pane="bottomLeft" activeCell="I20" sqref="I20:I21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Pittsburg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1534377.1399999997</v>
      </c>
      <c r="D5" s="20">
        <f>SUM('DOE25'!L196:L199)+SUM('DOE25'!L214:L217)+SUM('DOE25'!L232:L235)-F5-G5</f>
        <v>1524153.9699999995</v>
      </c>
      <c r="E5" s="244"/>
      <c r="F5" s="256">
        <f>SUM('DOE25'!J196:J199)+SUM('DOE25'!J214:J217)+SUM('DOE25'!J232:J235)</f>
        <v>1511.31</v>
      </c>
      <c r="G5" s="53">
        <f>SUM('DOE25'!K196:K199)+SUM('DOE25'!K214:K217)+SUM('DOE25'!K232:K235)</f>
        <v>8711.86</v>
      </c>
      <c r="H5" s="260"/>
    </row>
    <row r="6" spans="1:9">
      <c r="A6" s="32">
        <v>2100</v>
      </c>
      <c r="B6" t="s">
        <v>801</v>
      </c>
      <c r="C6" s="246">
        <f t="shared" si="0"/>
        <v>174627.65000000002</v>
      </c>
      <c r="D6" s="20">
        <f>'DOE25'!L201+'DOE25'!L219+'DOE25'!L237-F6-G6</f>
        <v>157491.65000000002</v>
      </c>
      <c r="E6" s="244"/>
      <c r="F6" s="256">
        <f>'DOE25'!J201+'DOE25'!J219+'DOE25'!J237</f>
        <v>15631</v>
      </c>
      <c r="G6" s="53">
        <f>'DOE25'!K201+'DOE25'!K219+'DOE25'!K237</f>
        <v>1505</v>
      </c>
      <c r="H6" s="260"/>
    </row>
    <row r="7" spans="1:9">
      <c r="A7" s="32">
        <v>2200</v>
      </c>
      <c r="B7" t="s">
        <v>834</v>
      </c>
      <c r="C7" s="246">
        <f t="shared" si="0"/>
        <v>86475.32</v>
      </c>
      <c r="D7" s="20">
        <f>'DOE25'!L202+'DOE25'!L220+'DOE25'!L238-F7-G7</f>
        <v>82084.320000000007</v>
      </c>
      <c r="E7" s="244"/>
      <c r="F7" s="256">
        <f>'DOE25'!J202+'DOE25'!J220+'DOE25'!J238</f>
        <v>0</v>
      </c>
      <c r="G7" s="53">
        <f>'DOE25'!K202+'DOE25'!K220+'DOE25'!K238</f>
        <v>4391</v>
      </c>
      <c r="H7" s="260"/>
    </row>
    <row r="8" spans="1:9">
      <c r="A8" s="32">
        <v>2300</v>
      </c>
      <c r="B8" t="s">
        <v>802</v>
      </c>
      <c r="C8" s="246">
        <f t="shared" si="0"/>
        <v>123313.87000000001</v>
      </c>
      <c r="D8" s="244"/>
      <c r="E8" s="20">
        <f>'DOE25'!L203+'DOE25'!L221+'DOE25'!L239-F8-G8-D9-D11</f>
        <v>119289.48000000001</v>
      </c>
      <c r="F8" s="256">
        <f>'DOE25'!J203+'DOE25'!J221+'DOE25'!J239</f>
        <v>0</v>
      </c>
      <c r="G8" s="53">
        <f>'DOE25'!K203+'DOE25'!K221+'DOE25'!K239</f>
        <v>4024.39</v>
      </c>
      <c r="H8" s="260"/>
    </row>
    <row r="9" spans="1:9">
      <c r="A9" s="32">
        <v>2310</v>
      </c>
      <c r="B9" t="s">
        <v>818</v>
      </c>
      <c r="C9" s="246">
        <f t="shared" si="0"/>
        <v>26553.49</v>
      </c>
      <c r="D9" s="245">
        <f>18857.13+7696.36</f>
        <v>26553.49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6700</v>
      </c>
      <c r="D10" s="244"/>
      <c r="E10" s="245">
        <v>6700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58575</v>
      </c>
      <c r="D11" s="245">
        <v>58575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162970.59</v>
      </c>
      <c r="D12" s="20">
        <f>'DOE25'!L204+'DOE25'!L222+'DOE25'!L240-F12-G12</f>
        <v>161950.53</v>
      </c>
      <c r="E12" s="244"/>
      <c r="F12" s="256">
        <f>'DOE25'!J204+'DOE25'!J222+'DOE25'!J240</f>
        <v>145.56</v>
      </c>
      <c r="G12" s="53">
        <f>'DOE25'!K204+'DOE25'!K222+'DOE25'!K240</f>
        <v>874.5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273944.46999999997</v>
      </c>
      <c r="D14" s="20">
        <f>'DOE25'!L206+'DOE25'!L224+'DOE25'!L242-F14-G14</f>
        <v>272201.99</v>
      </c>
      <c r="E14" s="244"/>
      <c r="F14" s="256">
        <f>'DOE25'!J206+'DOE25'!J224+'DOE25'!J242</f>
        <v>1329.98</v>
      </c>
      <c r="G14" s="53">
        <f>'DOE25'!K206+'DOE25'!K224+'DOE25'!K242</f>
        <v>412.5</v>
      </c>
      <c r="H14" s="260"/>
    </row>
    <row r="15" spans="1:9">
      <c r="A15" s="32">
        <v>2700</v>
      </c>
      <c r="B15" t="s">
        <v>804</v>
      </c>
      <c r="C15" s="246">
        <f t="shared" si="0"/>
        <v>65840.639999999999</v>
      </c>
      <c r="D15" s="20">
        <f>'DOE25'!L207+'DOE25'!L225+'DOE25'!L243-F15-G15</f>
        <v>65328.09</v>
      </c>
      <c r="E15" s="244"/>
      <c r="F15" s="256">
        <f>'DOE25'!J207+'DOE25'!J225+'DOE25'!J243</f>
        <v>0</v>
      </c>
      <c r="G15" s="53">
        <f>'DOE25'!K207+'DOE25'!K225+'DOE25'!K243</f>
        <v>512.54999999999995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264820</v>
      </c>
      <c r="D25" s="244"/>
      <c r="E25" s="244"/>
      <c r="F25" s="259"/>
      <c r="G25" s="257"/>
      <c r="H25" s="258">
        <f>'DOE25'!L259+'DOE25'!L260+'DOE25'!L340+'DOE25'!L341</f>
        <v>264820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42743.37</v>
      </c>
      <c r="D29" s="20">
        <f>'DOE25'!L357+'DOE25'!L358+'DOE25'!L359-'DOE25'!I366-F29-G29</f>
        <v>42588.12</v>
      </c>
      <c r="E29" s="244"/>
      <c r="F29" s="256">
        <f>'DOE25'!J357+'DOE25'!J358+'DOE25'!J359</f>
        <v>0</v>
      </c>
      <c r="G29" s="53">
        <f>'DOE25'!K357+'DOE25'!K358+'DOE25'!K359</f>
        <v>155.25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81372.01999999999</v>
      </c>
      <c r="D31" s="20">
        <f>'DOE25'!L289+'DOE25'!L308+'DOE25'!L327+'DOE25'!L332+'DOE25'!L333+'DOE25'!L334-F31-G31</f>
        <v>77948.62</v>
      </c>
      <c r="E31" s="244"/>
      <c r="F31" s="256">
        <f>'DOE25'!J289+'DOE25'!J308+'DOE25'!J327+'DOE25'!J332+'DOE25'!J333+'DOE25'!J334</f>
        <v>2633.4</v>
      </c>
      <c r="G31" s="53">
        <f>'DOE25'!K289+'DOE25'!K308+'DOE25'!K327+'DOE25'!K332+'DOE25'!K333+'DOE25'!K334</f>
        <v>790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2468875.7799999998</v>
      </c>
      <c r="E33" s="247">
        <f>SUM(E5:E31)</f>
        <v>125989.48000000001</v>
      </c>
      <c r="F33" s="247">
        <f>SUM(F5:F31)</f>
        <v>21251.250000000004</v>
      </c>
      <c r="G33" s="247">
        <f>SUM(G5:G31)</f>
        <v>21377.05</v>
      </c>
      <c r="H33" s="247">
        <f>SUM(H5:H31)</f>
        <v>264820</v>
      </c>
    </row>
    <row r="35" spans="2:8" ht="12" thickBot="1">
      <c r="B35" s="254" t="s">
        <v>847</v>
      </c>
      <c r="D35" s="255">
        <f>E33</f>
        <v>125989.48000000001</v>
      </c>
      <c r="E35" s="250"/>
    </row>
    <row r="36" spans="2:8" ht="12" thickTop="1">
      <c r="B36" t="s">
        <v>815</v>
      </c>
      <c r="D36" s="20">
        <f>D33</f>
        <v>2468875.7799999998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Pittsburg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217772.09</v>
      </c>
      <c r="D8" s="95">
        <f>'DOE25'!G9</f>
        <v>6903.5</v>
      </c>
      <c r="E8" s="95">
        <f>'DOE25'!H9</f>
        <v>0</v>
      </c>
      <c r="F8" s="95">
        <f>'DOE25'!I9</f>
        <v>0</v>
      </c>
      <c r="G8" s="95">
        <f>'DOE25'!J9</f>
        <v>477876.81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37004.92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30302.23</v>
      </c>
      <c r="D12" s="95">
        <f>'DOE25'!G13</f>
        <v>6934.64</v>
      </c>
      <c r="E12" s="95">
        <f>'DOE25'!H13</f>
        <v>36098.47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4007.42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285079.24</v>
      </c>
      <c r="D18" s="41">
        <f>SUM(D8:D17)</f>
        <v>17845.559999999998</v>
      </c>
      <c r="E18" s="41">
        <f>SUM(E8:E17)</f>
        <v>36098.47</v>
      </c>
      <c r="F18" s="41">
        <f>SUM(F8:F17)</f>
        <v>0</v>
      </c>
      <c r="G18" s="41">
        <f>SUM(G8:G17)</f>
        <v>477876.81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906.45</v>
      </c>
      <c r="E21" s="95">
        <f>'DOE25'!H22</f>
        <v>36098.47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30378.27</v>
      </c>
      <c r="D23" s="95">
        <f>'DOE25'!G24</f>
        <v>560.41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4084.17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10120.09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44582.53</v>
      </c>
      <c r="D31" s="41">
        <f>SUM(D21:D30)</f>
        <v>1466.8600000000001</v>
      </c>
      <c r="E31" s="41">
        <f>SUM(E21:E30)</f>
        <v>36098.47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4007.42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12371.28</v>
      </c>
      <c r="E46" s="95">
        <f>'DOE25'!H47</f>
        <v>0</v>
      </c>
      <c r="F46" s="95">
        <f>'DOE25'!I47</f>
        <v>0</v>
      </c>
      <c r="G46" s="95">
        <f>'DOE25'!J47</f>
        <v>477876.81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240496.71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240496.71</v>
      </c>
      <c r="D49" s="41">
        <f>SUM(D34:D48)</f>
        <v>16378.7</v>
      </c>
      <c r="E49" s="41">
        <f>SUM(E34:E48)</f>
        <v>0</v>
      </c>
      <c r="F49" s="41">
        <f>SUM(F34:F48)</f>
        <v>0</v>
      </c>
      <c r="G49" s="41">
        <f>SUM(G34:G48)</f>
        <v>477876.81</v>
      </c>
      <c r="H49" s="124"/>
      <c r="I49" s="124"/>
    </row>
    <row r="50" spans="1:9" ht="12" thickTop="1">
      <c r="A50" s="38" t="s">
        <v>895</v>
      </c>
      <c r="B50" s="2"/>
      <c r="C50" s="41">
        <f>C49+C31</f>
        <v>285079.24</v>
      </c>
      <c r="D50" s="41">
        <f>D49+D31</f>
        <v>17845.560000000001</v>
      </c>
      <c r="E50" s="41">
        <f>E49+E31</f>
        <v>36098.47</v>
      </c>
      <c r="F50" s="41">
        <f>F49+F31</f>
        <v>0</v>
      </c>
      <c r="G50" s="41">
        <f>G49+G31</f>
        <v>477876.81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1608822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350276.26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242.58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352.66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26873.33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41716.810000000005</v>
      </c>
      <c r="D60" s="95">
        <f>SUM('DOE25'!G97:G109)</f>
        <v>0</v>
      </c>
      <c r="E60" s="95">
        <f>SUM('DOE25'!H97:H109)</f>
        <v>484.5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392235.65</v>
      </c>
      <c r="D61" s="130">
        <f>SUM(D56:D60)</f>
        <v>26873.33</v>
      </c>
      <c r="E61" s="130">
        <f>SUM(E56:E60)</f>
        <v>484.5</v>
      </c>
      <c r="F61" s="130">
        <f>SUM(F56:F60)</f>
        <v>0</v>
      </c>
      <c r="G61" s="130">
        <f>SUM(G56:G60)</f>
        <v>352.66</v>
      </c>
      <c r="H61"/>
      <c r="I61"/>
    </row>
    <row r="62" spans="1:9" ht="12" thickTop="1">
      <c r="A62" s="29" t="s">
        <v>175</v>
      </c>
      <c r="B62" s="6"/>
      <c r="C62" s="22">
        <f>C55+C61</f>
        <v>2001057.65</v>
      </c>
      <c r="D62" s="22">
        <f>D55+D61</f>
        <v>26873.33</v>
      </c>
      <c r="E62" s="22">
        <f>E55+E61</f>
        <v>484.5</v>
      </c>
      <c r="F62" s="22">
        <f>F55+F61</f>
        <v>0</v>
      </c>
      <c r="G62" s="22">
        <f>G55+G61</f>
        <v>352.66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35370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636641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30.62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672041.62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85234.03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1477.9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85234.03</v>
      </c>
      <c r="D77" s="130">
        <f>SUM(D71:D76)</f>
        <v>1477.9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757275.65</v>
      </c>
      <c r="D80" s="130">
        <f>SUM(D78:D79)+D77+D69</f>
        <v>1477.9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14029.189999999999</v>
      </c>
      <c r="D84" s="95">
        <f>'DOE25'!G146</f>
        <v>0</v>
      </c>
      <c r="E84" s="95">
        <f>'DOE25'!H146</f>
        <v>7417.34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1351.83</v>
      </c>
      <c r="D87" s="95">
        <f>SUM('DOE25'!G152:G160)</f>
        <v>25613.119999999999</v>
      </c>
      <c r="E87" s="95">
        <f>SUM('DOE25'!H152:H160)</f>
        <v>73470.180000000008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15381.019999999999</v>
      </c>
      <c r="D90" s="131">
        <f>SUM(D84:D89)</f>
        <v>25613.119999999999</v>
      </c>
      <c r="E90" s="131">
        <f>SUM(E84:E89)</f>
        <v>80887.520000000004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21600</v>
      </c>
      <c r="E95" s="95">
        <f>'DOE25'!H178</f>
        <v>0</v>
      </c>
      <c r="F95" s="95">
        <f>'DOE25'!I178</f>
        <v>0</v>
      </c>
      <c r="G95" s="95">
        <f>'DOE25'!J178</f>
        <v>25000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21600</v>
      </c>
      <c r="E102" s="86">
        <f>SUM(E92:E101)</f>
        <v>0</v>
      </c>
      <c r="F102" s="86">
        <f>SUM(F92:F101)</f>
        <v>0</v>
      </c>
      <c r="G102" s="86">
        <f>SUM(G92:G101)</f>
        <v>25000</v>
      </c>
    </row>
    <row r="103" spans="1:7" ht="12.75" thickTop="1" thickBot="1">
      <c r="A103" s="33" t="s">
        <v>765</v>
      </c>
      <c r="C103" s="86">
        <f>C62+C80+C90+C102</f>
        <v>2773714.32</v>
      </c>
      <c r="D103" s="86">
        <f>D62+D80+D90+D102</f>
        <v>75564.350000000006</v>
      </c>
      <c r="E103" s="86">
        <f>E62+E80+E90+E102</f>
        <v>81372.02</v>
      </c>
      <c r="F103" s="86">
        <f>F62+F80+F90+F102</f>
        <v>0</v>
      </c>
      <c r="G103" s="86">
        <f>G62+G80+G102</f>
        <v>25352.66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1354372.6199999999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123400.26</v>
      </c>
      <c r="D109" s="24" t="s">
        <v>289</v>
      </c>
      <c r="E109" s="95">
        <f>('DOE25'!L276)+('DOE25'!L295)+('DOE25'!L314)</f>
        <v>52647.81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6750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49854.259999999995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1534377.14</v>
      </c>
      <c r="D114" s="86">
        <f>SUM(D108:D113)</f>
        <v>0</v>
      </c>
      <c r="E114" s="86">
        <f>SUM(E108:E113)</f>
        <v>52647.81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174627.65000000002</v>
      </c>
      <c r="D117" s="24" t="s">
        <v>289</v>
      </c>
      <c r="E117" s="95">
        <f>+('DOE25'!L280)+('DOE25'!L299)+('DOE25'!L318)</f>
        <v>3294.9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86475.32</v>
      </c>
      <c r="D118" s="24" t="s">
        <v>289</v>
      </c>
      <c r="E118" s="95">
        <f>+('DOE25'!L281)+('DOE25'!L300)+('DOE25'!L319)</f>
        <v>25429.309999999998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208442.36000000002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162970.59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273944.46999999997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65840.639999999999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76560.61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972301.03</v>
      </c>
      <c r="D127" s="86">
        <f>SUM(D117:D126)</f>
        <v>76560.61</v>
      </c>
      <c r="E127" s="86">
        <f>SUM(E117:E126)</f>
        <v>28724.21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228000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36820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21600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25352.659999999996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-352.65999999999622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311420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2818098.17</v>
      </c>
      <c r="D144" s="86">
        <f>(D114+D127+D143)</f>
        <v>76560.61</v>
      </c>
      <c r="E144" s="86">
        <f>(E114+E127+E143)</f>
        <v>81372.01999999999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15</v>
      </c>
      <c r="C150" s="153">
        <f>'DOE25'!G489</f>
        <v>5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July 1999</v>
      </c>
      <c r="C151" s="152" t="str">
        <f>'DOE25'!G490</f>
        <v>July 2006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August 201114</v>
      </c>
      <c r="C152" s="152" t="str">
        <f>'DOE25'!G491</f>
        <v>July 2011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3010000</v>
      </c>
      <c r="C153" s="137">
        <f>'DOE25'!G492</f>
        <v>148000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5.25</v>
      </c>
      <c r="C154" s="137">
        <f>'DOE25'!G493</f>
        <v>4.25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790000</v>
      </c>
      <c r="C155" s="137">
        <f>'DOE25'!G494</f>
        <v>29000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819000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200000</v>
      </c>
      <c r="C157" s="137">
        <f>'DOE25'!G496</f>
        <v>29000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229000</v>
      </c>
    </row>
    <row r="158" spans="1:9">
      <c r="A158" s="22" t="s">
        <v>35</v>
      </c>
      <c r="B158" s="137">
        <f>'DOE25'!F497</f>
        <v>590000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590000</v>
      </c>
    </row>
    <row r="159" spans="1:9">
      <c r="A159" s="22" t="s">
        <v>36</v>
      </c>
      <c r="B159" s="137">
        <f>'DOE25'!F498</f>
        <v>46200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46200</v>
      </c>
    </row>
    <row r="160" spans="1:9">
      <c r="A160" s="22" t="s">
        <v>37</v>
      </c>
      <c r="B160" s="137">
        <f>'DOE25'!F499</f>
        <v>636200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636200</v>
      </c>
    </row>
    <row r="161" spans="1:7">
      <c r="A161" s="22" t="s">
        <v>38</v>
      </c>
      <c r="B161" s="137">
        <f>'DOE25'!F500</f>
        <v>200000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200000</v>
      </c>
    </row>
    <row r="162" spans="1:7">
      <c r="A162" s="22" t="s">
        <v>39</v>
      </c>
      <c r="B162" s="137">
        <f>'DOE25'!F501</f>
        <v>25725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25725</v>
      </c>
    </row>
    <row r="163" spans="1:7">
      <c r="A163" s="22" t="s">
        <v>246</v>
      </c>
      <c r="B163" s="137">
        <f>'DOE25'!F502</f>
        <v>225725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225725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Pittsburg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22540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28216</v>
      </c>
    </row>
    <row r="7" spans="1:4">
      <c r="B7" t="s">
        <v>705</v>
      </c>
      <c r="C7" s="179">
        <f>IF('DOE25'!I664+'DOE25'!I669=0,0,ROUND('DOE25'!I671,0))</f>
        <v>24360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1354373</v>
      </c>
      <c r="D10" s="182">
        <f>ROUND((C10/$C$28)*100,1)</f>
        <v>50.6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176048</v>
      </c>
      <c r="D11" s="182">
        <f>ROUND((C11/$C$28)*100,1)</f>
        <v>6.6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6750</v>
      </c>
      <c r="D12" s="182">
        <f>ROUND((C12/$C$28)*100,1)</f>
        <v>0.3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49854</v>
      </c>
      <c r="D13" s="182">
        <f>ROUND((C13/$C$28)*100,1)</f>
        <v>1.9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177923</v>
      </c>
      <c r="D15" s="182">
        <f t="shared" ref="D15:D27" si="0">ROUND((C15/$C$28)*100,1)</f>
        <v>6.7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111905</v>
      </c>
      <c r="D16" s="182">
        <f t="shared" si="0"/>
        <v>4.2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208442</v>
      </c>
      <c r="D17" s="182">
        <f t="shared" si="0"/>
        <v>7.8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162971</v>
      </c>
      <c r="D18" s="182">
        <f t="shared" si="0"/>
        <v>6.1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273944</v>
      </c>
      <c r="D20" s="182">
        <f t="shared" si="0"/>
        <v>10.199999999999999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65841</v>
      </c>
      <c r="D21" s="182">
        <f t="shared" si="0"/>
        <v>2.5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36820</v>
      </c>
      <c r="D25" s="182">
        <f t="shared" si="0"/>
        <v>1.4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49687.67</v>
      </c>
      <c r="D27" s="182">
        <f t="shared" si="0"/>
        <v>1.9</v>
      </c>
    </row>
    <row r="28" spans="1:4">
      <c r="B28" s="187" t="s">
        <v>723</v>
      </c>
      <c r="C28" s="180">
        <f>SUM(C10:C27)</f>
        <v>2674558.67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2674558.67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228000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1608822</v>
      </c>
      <c r="D35" s="182">
        <f t="shared" ref="D35:D40" si="1">ROUND((C35/$C$41)*100,1)</f>
        <v>55.8</v>
      </c>
    </row>
    <row r="36" spans="1:4">
      <c r="B36" s="185" t="s">
        <v>743</v>
      </c>
      <c r="C36" s="179">
        <f>SUM('DOE25'!F111:J111)-SUM('DOE25'!G96:G109)+('DOE25'!F173+'DOE25'!F174+'DOE25'!I173+'DOE25'!I174)-C35</f>
        <v>393072.80999999982</v>
      </c>
      <c r="D36" s="182">
        <f t="shared" si="1"/>
        <v>13.6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672042</v>
      </c>
      <c r="D37" s="182">
        <f t="shared" si="1"/>
        <v>23.3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86712</v>
      </c>
      <c r="D38" s="182">
        <f t="shared" si="1"/>
        <v>3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121882</v>
      </c>
      <c r="D39" s="182">
        <f t="shared" si="1"/>
        <v>4.2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2882530.8099999996</v>
      </c>
      <c r="D41" s="184">
        <f>SUM(D35:D40)</f>
        <v>99.899999999999991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Pittsburg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>
      <c r="A30" s="219"/>
      <c r="B30" s="220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>
      <c r="A31" s="219"/>
      <c r="B31" s="220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>
      <c r="A32" s="219"/>
      <c r="B32" s="220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9"/>
      <c r="AO32" s="220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9"/>
      <c r="BB32" s="220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9"/>
      <c r="BO32" s="220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9"/>
      <c r="CB32" s="220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9"/>
      <c r="CO32" s="220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9"/>
      <c r="DB32" s="220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9"/>
      <c r="DO32" s="220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9"/>
      <c r="EB32" s="220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9"/>
      <c r="EO32" s="220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9"/>
      <c r="FB32" s="220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9"/>
      <c r="FO32" s="220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9"/>
      <c r="GB32" s="220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9"/>
      <c r="GO32" s="220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9"/>
      <c r="HB32" s="220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9"/>
      <c r="HO32" s="220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9"/>
      <c r="IB32" s="220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9"/>
      <c r="IO32" s="220"/>
      <c r="IP32" s="284"/>
      <c r="IQ32" s="284"/>
      <c r="IR32" s="284"/>
      <c r="IS32" s="284"/>
      <c r="IT32" s="284"/>
      <c r="IU32" s="284"/>
      <c r="IV32" s="284"/>
    </row>
    <row r="33" spans="1:256">
      <c r="A33" s="219"/>
      <c r="B33" s="220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>
      <c r="A39" s="219"/>
      <c r="B39" s="220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>
      <c r="A40" s="219"/>
      <c r="B40" s="220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>
      <c r="A41" s="219"/>
      <c r="B41" s="220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>
      <c r="A60" s="219"/>
      <c r="B60" s="220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>
      <c r="A61" s="219"/>
      <c r="B61" s="220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>
      <c r="A62" s="219"/>
      <c r="B62" s="220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>
      <c r="A63" s="219"/>
      <c r="B63" s="220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>
      <c r="A64" s="219"/>
      <c r="B64" s="220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>
      <c r="A65" s="219"/>
      <c r="B65" s="220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>
      <c r="A66" s="219"/>
      <c r="B66" s="220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>
      <c r="A67" s="219"/>
      <c r="B67" s="220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>
      <c r="A68" s="219"/>
      <c r="B68" s="220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>
      <c r="A69" s="219"/>
      <c r="B69" s="220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>
      <c r="A70" s="221"/>
      <c r="B70" s="222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2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3" t="s">
        <v>848</v>
      </c>
      <c r="B72" s="283"/>
      <c r="C72" s="283"/>
      <c r="D72" s="283"/>
      <c r="E72" s="283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3">
    <mergeCell ref="CP40:CZ40"/>
    <mergeCell ref="DC40:DM40"/>
    <mergeCell ref="P39:Z39"/>
    <mergeCell ref="AC39:AM39"/>
    <mergeCell ref="AP39:AZ39"/>
    <mergeCell ref="P40:Z40"/>
    <mergeCell ref="AC40:AM40"/>
    <mergeCell ref="IC40:IM40"/>
    <mergeCell ref="C51:M51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EP40:EZ40"/>
    <mergeCell ref="DP40:DZ40"/>
    <mergeCell ref="C43:M43"/>
    <mergeCell ref="BC40:BM40"/>
    <mergeCell ref="BP40:BZ40"/>
    <mergeCell ref="FC40:FM40"/>
    <mergeCell ref="FP40:FZ40"/>
    <mergeCell ref="CC40:CM40"/>
    <mergeCell ref="BC38:BM38"/>
    <mergeCell ref="CC39:CM39"/>
    <mergeCell ref="CP39:CZ39"/>
    <mergeCell ref="IP39:IV39"/>
    <mergeCell ref="EP39:EZ39"/>
    <mergeCell ref="FC39:FM39"/>
    <mergeCell ref="FP39:FZ39"/>
    <mergeCell ref="GP39:GZ39"/>
    <mergeCell ref="FC38:FM38"/>
    <mergeCell ref="FP38:FZ38"/>
    <mergeCell ref="GC38:GM38"/>
    <mergeCell ref="GP38:GZ38"/>
    <mergeCell ref="HC38:HM38"/>
    <mergeCell ref="HP38:HZ38"/>
    <mergeCell ref="HP39:HZ39"/>
    <mergeCell ref="IC39:IM39"/>
    <mergeCell ref="HC39:HM39"/>
    <mergeCell ref="DC39:DM39"/>
    <mergeCell ref="DP39:DZ39"/>
    <mergeCell ref="EC39:EM39"/>
    <mergeCell ref="GC39:GM39"/>
    <mergeCell ref="IC38:IM38"/>
    <mergeCell ref="IP38:IV38"/>
    <mergeCell ref="BP39:BZ39"/>
    <mergeCell ref="BP38:BZ38"/>
    <mergeCell ref="CC38:CM38"/>
    <mergeCell ref="CC32:CM32"/>
    <mergeCell ref="CP38:CZ38"/>
    <mergeCell ref="DC38:DM38"/>
    <mergeCell ref="DP38:DZ38"/>
    <mergeCell ref="EC38:EM38"/>
    <mergeCell ref="EP38:EZ38"/>
    <mergeCell ref="BP32:BZ32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HC32:HM32"/>
    <mergeCell ref="DC32:DM32"/>
    <mergeCell ref="DP32:DZ32"/>
    <mergeCell ref="EC32:EM32"/>
    <mergeCell ref="EP32:EZ32"/>
    <mergeCell ref="FP32:FZ32"/>
    <mergeCell ref="GC32:GM32"/>
    <mergeCell ref="GP32:GZ32"/>
    <mergeCell ref="EC30:EM30"/>
    <mergeCell ref="EP30:EZ30"/>
    <mergeCell ref="BC30:BM30"/>
    <mergeCell ref="BP30:BZ30"/>
    <mergeCell ref="GP31:GZ31"/>
    <mergeCell ref="HC31:HM31"/>
    <mergeCell ref="HP31:HZ31"/>
    <mergeCell ref="IC31:IM31"/>
    <mergeCell ref="IP31:IV31"/>
    <mergeCell ref="P32:Z32"/>
    <mergeCell ref="AP38:AZ38"/>
    <mergeCell ref="C34:M34"/>
    <mergeCell ref="C35:M35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HP29:HZ29"/>
    <mergeCell ref="IC29:IM29"/>
    <mergeCell ref="IP29:IV29"/>
    <mergeCell ref="DC29:DM29"/>
    <mergeCell ref="DP29:DZ29"/>
    <mergeCell ref="EC29:EM29"/>
    <mergeCell ref="EP29:EZ29"/>
    <mergeCell ref="FC29:FM29"/>
    <mergeCell ref="FP29:FZ29"/>
    <mergeCell ref="AC32:AM32"/>
    <mergeCell ref="AP32:AZ32"/>
    <mergeCell ref="P38:Z38"/>
    <mergeCell ref="AC38:AM38"/>
    <mergeCell ref="C42:M42"/>
    <mergeCell ref="C36:M36"/>
    <mergeCell ref="GC29:GM29"/>
    <mergeCell ref="GP29:GZ29"/>
    <mergeCell ref="HC29:HM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C32:M32"/>
    <mergeCell ref="C30:M30"/>
    <mergeCell ref="C31:M31"/>
    <mergeCell ref="P31:Z31"/>
    <mergeCell ref="AC31:AM31"/>
    <mergeCell ref="AP31:AZ31"/>
    <mergeCell ref="BC29:BM29"/>
    <mergeCell ref="BP29:BZ29"/>
    <mergeCell ref="CC29:CM29"/>
    <mergeCell ref="CP29:CZ29"/>
    <mergeCell ref="C11:M11"/>
    <mergeCell ref="C12:M12"/>
    <mergeCell ref="C5:M5"/>
    <mergeCell ref="C6:M6"/>
    <mergeCell ref="C7:M7"/>
    <mergeCell ref="C8:M8"/>
    <mergeCell ref="P29:Z29"/>
    <mergeCell ref="AC29:AM29"/>
    <mergeCell ref="AP29:AZ29"/>
    <mergeCell ref="C13:M13"/>
    <mergeCell ref="A1:I1"/>
    <mergeCell ref="C3:M3"/>
    <mergeCell ref="C4:M4"/>
    <mergeCell ref="F2:I2"/>
    <mergeCell ref="C9:M9"/>
    <mergeCell ref="C10:M10"/>
    <mergeCell ref="C16:M16"/>
    <mergeCell ref="C17:M17"/>
    <mergeCell ref="C18:M18"/>
    <mergeCell ref="C14:M14"/>
    <mergeCell ref="C15:M15"/>
    <mergeCell ref="A2:E2"/>
    <mergeCell ref="C79:M79"/>
    <mergeCell ref="C62:M62"/>
    <mergeCell ref="C63:M63"/>
    <mergeCell ref="C21:M21"/>
    <mergeCell ref="C22:M22"/>
    <mergeCell ref="C23:M23"/>
    <mergeCell ref="C24:M24"/>
    <mergeCell ref="C66:M66"/>
    <mergeCell ref="C67:M67"/>
    <mergeCell ref="C29:M29"/>
    <mergeCell ref="C25:M25"/>
    <mergeCell ref="C26:M26"/>
    <mergeCell ref="C27:M27"/>
    <mergeCell ref="C28:M28"/>
    <mergeCell ref="C61:M61"/>
    <mergeCell ref="C53:M53"/>
    <mergeCell ref="C54:M54"/>
    <mergeCell ref="C55:M55"/>
    <mergeCell ref="C64:M64"/>
    <mergeCell ref="C65:M65"/>
    <mergeCell ref="C56:M56"/>
    <mergeCell ref="C57:M57"/>
    <mergeCell ref="C59:M59"/>
    <mergeCell ref="C60:M60"/>
    <mergeCell ref="C89:M89"/>
    <mergeCell ref="C90:M90"/>
    <mergeCell ref="C83:M83"/>
    <mergeCell ref="C84:M84"/>
    <mergeCell ref="C85:M85"/>
    <mergeCell ref="C86:M86"/>
    <mergeCell ref="C80:M80"/>
    <mergeCell ref="C81:M81"/>
    <mergeCell ref="C82:M82"/>
    <mergeCell ref="C87:M87"/>
    <mergeCell ref="C88:M88"/>
    <mergeCell ref="C75:M75"/>
    <mergeCell ref="C76:M76"/>
    <mergeCell ref="C77:M77"/>
    <mergeCell ref="C78:M78"/>
    <mergeCell ref="C70:M70"/>
    <mergeCell ref="A72:E72"/>
    <mergeCell ref="C19:M19"/>
    <mergeCell ref="C52:M52"/>
    <mergeCell ref="C50:M50"/>
    <mergeCell ref="C47:M47"/>
    <mergeCell ref="C48:M48"/>
    <mergeCell ref="C49:M49"/>
    <mergeCell ref="C73:M73"/>
    <mergeCell ref="C74:M74"/>
    <mergeCell ref="C68:M68"/>
    <mergeCell ref="C69:M69"/>
    <mergeCell ref="C20:M2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2012-08-22T17:43:03Z</cp:lastPrinted>
  <dcterms:created xsi:type="dcterms:W3CDTF">1997-12-04T19:04:30Z</dcterms:created>
  <dcterms:modified xsi:type="dcterms:W3CDTF">2012-11-21T15:23:13Z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