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22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103" i="2" s="1"/>
  <c r="G58" i="2"/>
  <c r="G60" i="2"/>
  <c r="F2" i="11"/>
  <c r="L612" i="1"/>
  <c r="H662" i="1" s="1"/>
  <c r="L611" i="1"/>
  <c r="G662" i="1" s="1"/>
  <c r="L610" i="1"/>
  <c r="F662" i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/>
  <c r="J110" i="1"/>
  <c r="J111" i="1"/>
  <c r="F120" i="1"/>
  <c r="F135" i="1"/>
  <c r="F139" i="1" s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G433" i="1" s="1"/>
  <c r="H426" i="1"/>
  <c r="I426" i="1"/>
  <c r="J426" i="1"/>
  <c r="L428" i="1"/>
  <c r="L429" i="1"/>
  <c r="L430" i="1"/>
  <c r="L431" i="1"/>
  <c r="F432" i="1"/>
  <c r="G432" i="1"/>
  <c r="H432" i="1"/>
  <c r="H433" i="1" s="1"/>
  <c r="I432" i="1"/>
  <c r="I433" i="1"/>
  <c r="J432" i="1"/>
  <c r="F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H663" i="1" s="1"/>
  <c r="H671" i="1" s="1"/>
  <c r="C6" i="10" s="1"/>
  <c r="L350" i="1"/>
  <c r="I661" i="1"/>
  <c r="L289" i="1"/>
  <c r="F65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F77" i="2"/>
  <c r="F61" i="2"/>
  <c r="F62" i="2" s="1"/>
  <c r="D31" i="2"/>
  <c r="C127" i="2"/>
  <c r="C77" i="2"/>
  <c r="C80" i="2" s="1"/>
  <c r="C103" i="2" s="1"/>
  <c r="D49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/>
  <c r="J570" i="1"/>
  <c r="K570" i="1"/>
  <c r="L432" i="1"/>
  <c r="L418" i="1"/>
  <c r="L433" i="1" s="1"/>
  <c r="G637" i="1" s="1"/>
  <c r="J637" i="1" s="1"/>
  <c r="D80" i="2"/>
  <c r="I168" i="1"/>
  <c r="H168" i="1"/>
  <c r="H647" i="1"/>
  <c r="G551" i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F192" i="1" s="1"/>
  <c r="G626" i="1" s="1"/>
  <c r="J626" i="1" s="1"/>
  <c r="J139" i="1"/>
  <c r="F570" i="1"/>
  <c r="H256" i="1"/>
  <c r="H270" i="1" s="1"/>
  <c r="G12" i="2"/>
  <c r="I551" i="1"/>
  <c r="K548" i="1"/>
  <c r="K549" i="1"/>
  <c r="G22" i="2"/>
  <c r="G31" i="2" s="1"/>
  <c r="J32" i="1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H33" i="13" s="1"/>
  <c r="J650" i="1"/>
  <c r="J639" i="1"/>
  <c r="J633" i="1"/>
  <c r="H570" i="1"/>
  <c r="L559" i="1"/>
  <c r="L570" i="1" s="1"/>
  <c r="J544" i="1"/>
  <c r="L336" i="1"/>
  <c r="H337" i="1"/>
  <c r="H351" i="1" s="1"/>
  <c r="F337" i="1"/>
  <c r="F351" i="1" s="1"/>
  <c r="G191" i="1"/>
  <c r="H191" i="1"/>
  <c r="H192" i="1" s="1"/>
  <c r="G628" i="1" s="1"/>
  <c r="J628" i="1" s="1"/>
  <c r="E127" i="2"/>
  <c r="E144" i="2"/>
  <c r="F551" i="1"/>
  <c r="C35" i="10"/>
  <c r="C36" i="10" s="1"/>
  <c r="L308" i="1"/>
  <c r="D5" i="13"/>
  <c r="C5" i="13" s="1"/>
  <c r="E16" i="13"/>
  <c r="C16" i="13" s="1"/>
  <c r="C49" i="2"/>
  <c r="C50" i="2"/>
  <c r="J654" i="1"/>
  <c r="J644" i="1"/>
  <c r="J192" i="1"/>
  <c r="H666" i="1"/>
  <c r="L569" i="1"/>
  <c r="I570" i="1"/>
  <c r="I544" i="1"/>
  <c r="G36" i="2"/>
  <c r="C39" i="10"/>
  <c r="L564" i="1"/>
  <c r="G544" i="1"/>
  <c r="L544" i="1"/>
  <c r="H544" i="1"/>
  <c r="K550" i="1"/>
  <c r="K551" i="1" s="1"/>
  <c r="F143" i="2"/>
  <c r="F144" i="2" s="1"/>
  <c r="C22" i="13"/>
  <c r="F33" i="13"/>
  <c r="C137" i="2"/>
  <c r="L407" i="1"/>
  <c r="G636" i="1" s="1"/>
  <c r="J636" i="1" s="1"/>
  <c r="E33" i="13"/>
  <c r="D35" i="13" s="1"/>
  <c r="G659" i="1"/>
  <c r="G663" i="1" s="1"/>
  <c r="D31" i="13"/>
  <c r="C31" i="13" s="1"/>
  <c r="L337" i="1"/>
  <c r="L351" i="1" s="1"/>
  <c r="G632" i="1" s="1"/>
  <c r="J632" i="1" s="1"/>
  <c r="C25" i="13"/>
  <c r="G630" i="1"/>
  <c r="J630" i="1" s="1"/>
  <c r="G645" i="1"/>
  <c r="D50" i="2"/>
  <c r="E90" i="2"/>
  <c r="D102" i="2"/>
  <c r="D103" i="2" s="1"/>
  <c r="F663" i="1"/>
  <c r="F671" i="1" s="1"/>
  <c r="C4" i="10" s="1"/>
  <c r="I659" i="1"/>
  <c r="J641" i="1"/>
  <c r="G16" i="2" l="1"/>
  <c r="J19" i="1"/>
  <c r="G620" i="1" s="1"/>
  <c r="G42" i="2"/>
  <c r="G49" i="2" s="1"/>
  <c r="G50" i="2" s="1"/>
  <c r="J50" i="1"/>
  <c r="J647" i="1"/>
  <c r="E103" i="2"/>
  <c r="F544" i="1"/>
  <c r="F666" i="1"/>
  <c r="D33" i="13"/>
  <c r="D36" i="13" s="1"/>
  <c r="C140" i="2"/>
  <c r="G192" i="1"/>
  <c r="G627" i="1" s="1"/>
  <c r="J627" i="1" s="1"/>
  <c r="G18" i="2"/>
  <c r="J631" i="1"/>
  <c r="J651" i="1"/>
  <c r="G570" i="1"/>
  <c r="I51" i="1"/>
  <c r="H619" i="1" s="1"/>
  <c r="J619" i="1" s="1"/>
  <c r="F80" i="2"/>
  <c r="F103" i="2" s="1"/>
  <c r="I139" i="1"/>
  <c r="I192" i="1" s="1"/>
  <c r="G629" i="1" s="1"/>
  <c r="J629" i="1" s="1"/>
  <c r="A22" i="12"/>
  <c r="C143" i="2"/>
  <c r="C144" i="2" s="1"/>
  <c r="G671" i="1"/>
  <c r="C5" i="10" s="1"/>
  <c r="G666" i="1"/>
  <c r="G163" i="2"/>
  <c r="I662" i="1"/>
  <c r="I663" i="1" s="1"/>
  <c r="H645" i="1"/>
  <c r="J645" i="1" s="1"/>
  <c r="G160" i="2"/>
  <c r="G634" i="1"/>
  <c r="J634" i="1" s="1"/>
  <c r="C27" i="10"/>
  <c r="C38" i="10" l="1"/>
  <c r="G625" i="1"/>
  <c r="J625" i="1" s="1"/>
  <c r="J51" i="1"/>
  <c r="H620" i="1" s="1"/>
  <c r="J620" i="1" s="1"/>
  <c r="H655" i="1"/>
  <c r="I671" i="1"/>
  <c r="C7" i="10" s="1"/>
  <c r="I666" i="1"/>
  <c r="C28" i="10"/>
  <c r="C41" i="10" l="1"/>
  <c r="D38" i="10"/>
  <c r="D25" i="10"/>
  <c r="D22" i="10"/>
  <c r="D26" i="10"/>
  <c r="D13" i="10"/>
  <c r="D10" i="10"/>
  <c r="D23" i="10"/>
  <c r="D11" i="10"/>
  <c r="D19" i="10"/>
  <c r="D21" i="10"/>
  <c r="D17" i="10"/>
  <c r="C30" i="10"/>
  <c r="D24" i="10"/>
  <c r="D15" i="10"/>
  <c r="D18" i="10"/>
  <c r="D20" i="10"/>
  <c r="D12" i="10"/>
  <c r="D16" i="10"/>
  <c r="D27" i="10"/>
  <c r="D36" i="10" l="1"/>
  <c r="D39" i="10"/>
  <c r="D37" i="10"/>
  <c r="D35" i="10"/>
  <c r="D41" i="10" s="1"/>
  <c r="D40" i="10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<sst xmlns="http://schemas.openxmlformats.org/spreadsheetml/2006/main" count="3945" uniqueCount="911">
  <si>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</si>
  <si>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</si>
  <si>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</si>
  <si>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</si>
  <si>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</si>
  <si>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</si>
  <si>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</si>
  <si>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</si>
  <si>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</si>
  <si>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</si>
  <si>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</si>
  <si>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</si>
  <si>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</si>
  <si>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</si>
  <si>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</si>
  <si>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</si>
  <si>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</si>
  <si>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</si>
  <si>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</si>
  <si>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</si>
  <si>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</si>
  <si>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</si>
  <si>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</si>
  <si>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</si>
  <si>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</si>
  <si>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</si>
  <si>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</si>
  <si>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</si>
  <si>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</si>
  <si>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</si>
  <si>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</si>
  <si>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</si>
  <si>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</si>
  <si>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</si>
  <si>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</si>
  <si>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</si>
  <si>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</si>
  <si>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</si>
  <si>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</si>
  <si>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</si>
  <si>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</si>
  <si>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</si>
  <si>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</si>
  <si>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</si>
  <si>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</si>
  <si>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</si>
  <si>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</si>
  <si>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</si>
  <si>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</si>
  <si>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</si>
  <si>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</si>
  <si>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</si>
  <si>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</si>
  <si>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</si>
  <si>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</si>
  <si>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</si>
  <si>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</si>
  <si>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</si>
  <si>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</si>
  <si>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</si>
  <si>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</si>
  <si>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</si>
  <si>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</si>
  <si>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</si>
  <si>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</si>
  <si>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</si>
  <si>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</si>
  <si>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</si>
  <si>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</si>
  <si>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</si>
  <si>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</si>
  <si>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</si>
  <si>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</si>
  <si>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</si>
  <si>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</si>
  <si>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</si>
  <si>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</si>
  <si>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</si>
  <si>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</si>
  <si>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</si>
  <si>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</si>
  <si>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</si>
  <si>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</si>
  <si>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</si>
  <si>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</si>
  <si>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</si>
  <si>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</si>
  <si>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</si>
  <si>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</si>
  <si>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</si>
  <si>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</si>
  <si>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</si>
  <si>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</si>
  <si>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</si>
  <si>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</si>
  <si>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</si>
  <si>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</si>
  <si>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</si>
  <si>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</si>
  <si>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</si>
  <si>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</si>
  <si>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</si>
  <si>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</si>
  <si>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</si>
  <si>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</si>
  <si>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</si>
  <si>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</si>
  <si>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</si>
  <si>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</si>
  <si>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</si>
  <si>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</si>
  <si>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</si>
  <si>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</si>
  <si>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</si>
  <si>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</si>
  <si>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</si>
  <si>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</si>
  <si>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</si>
  <si>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</si>
  <si>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</si>
  <si>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</si>
  <si>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</si>
  <si>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</si>
  <si>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</si>
  <si>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</si>
  <si>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</si>
  <si>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</si>
  <si>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</si>
  <si>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</si>
  <si>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</si>
  <si>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</si>
  <si>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</si>
  <si>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</si>
  <si>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</si>
  <si>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</si>
  <si>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</si>
  <si>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</si>
  <si>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</si>
  <si>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</si>
  <si>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</si>
  <si>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</si>
  <si>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</si>
  <si>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</si>
  <si>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</si>
  <si>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</si>
  <si>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</si>
  <si>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</si>
  <si>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</si>
  <si>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</si>
  <si>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</si>
  <si>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</si>
  <si>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</si>
  <si>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</si>
  <si>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</si>
  <si>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</si>
  <si>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</si>
  <si>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</si>
  <si>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</si>
  <si>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</si>
  <si>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</si>
  <si>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</si>
  <si>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</si>
  <si>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</si>
  <si>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</si>
  <si>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</si>
  <si>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</si>
  <si>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</si>
  <si>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</si>
  <si>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</si>
  <si>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</si>
  <si>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</si>
  <si>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</si>
  <si>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</si>
  <si>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</si>
  <si>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</si>
  <si>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</si>
  <si>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</si>
  <si>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</si>
  <si>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</si>
  <si>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</si>
  <si>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</si>
  <si>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</si>
  <si>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</si>
  <si>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</si>
  <si>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</si>
  <si>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</si>
  <si>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</si>
  <si>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</si>
  <si>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</si>
  <si>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</si>
  <si>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</si>
  <si>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</si>
  <si>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</si>
  <si>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</si>
  <si>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</si>
  <si>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</si>
  <si>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</si>
  <si>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</si>
  <si>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</si>
  <si>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</si>
  <si>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</si>
  <si>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</si>
  <si>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</si>
  <si>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</si>
  <si>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</si>
  <si>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</si>
  <si>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</si>
  <si>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</si>
  <si>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</si>
  <si>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</si>
  <si>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</si>
  <si>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</si>
  <si>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</si>
  <si>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</si>
  <si>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</si>
  <si>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</si>
  <si>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</si>
  <si>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</si>
  <si>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</si>
  <si>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</si>
  <si>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</si>
  <si>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</si>
  <si>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</si>
  <si>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</si>
  <si>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</si>
  <si>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</si>
  <si>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</si>
  <si>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</si>
  <si>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</si>
  <si>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</si>
  <si>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</si>
  <si>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</si>
  <si>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</si>
  <si>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</si>
  <si>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</si>
  <si>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</si>
  <si>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</si>
  <si>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</si>
  <si>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</si>
  <si>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</si>
  <si>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</si>
  <si>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</si>
  <si>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</si>
  <si>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</si>
  <si>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</si>
  <si>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</si>
  <si>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</si>
  <si>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</si>
  <si>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</si>
  <si>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</si>
  <si>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</si>
  <si>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</si>
  <si>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</si>
  <si>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</si>
  <si>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</si>
  <si>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</si>
  <si>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</si>
  <si>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</si>
  <si>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</si>
  <si>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</si>
  <si>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</si>
  <si>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</si>
  <si>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</si>
  <si>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</si>
  <si>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</si>
  <si>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</si>
  <si>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</si>
  <si>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</si>
  <si>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</si>
  <si>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</si>
  <si>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</si>
  <si>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</si>
  <si>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</si>
  <si>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</si>
  <si>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</si>
  <si>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</si>
  <si>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</si>
  <si>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</si>
  <si>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</si>
  <si>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</si>
  <si>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</si>
  <si>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</si>
  <si>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</si>
  <si>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</si>
  <si>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</si>
  <si>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</si>
  <si>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</si>
  <si>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</si>
  <si>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</si>
  <si>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</si>
  <si>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</si>
  <si>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</si>
  <si>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</si>
  <si>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</si>
  <si>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</si>
  <si>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</si>
  <si>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</si>
  <si>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</si>
  <si>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</si>
  <si>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</si>
  <si>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</si>
  <si>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</si>
  <si>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</si>
  <si>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</si>
  <si>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</si>
  <si>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</si>
  <si>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</si>
  <si>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</si>
  <si>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</si>
  <si>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</si>
  <si>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</si>
  <si>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</si>
  <si>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</si>
  <si>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</si>
  <si>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</si>
  <si>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</si>
  <si>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</si>
  <si>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</si>
  <si>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</si>
  <si>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</si>
  <si>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</si>
  <si>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</si>
  <si>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</si>
  <si>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</si>
  <si>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</si>
  <si>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</si>
  <si>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</si>
  <si>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</si>
  <si>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</si>
  <si>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</si>
  <si>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</si>
  <si>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</si>
  <si>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</si>
  <si>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</si>
  <si>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</si>
  <si>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</si>
  <si>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</si>
  <si>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</si>
  <si>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</si>
  <si>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</si>
  <si>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</si>
  <si>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</si>
  <si>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</si>
  <si>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</si>
  <si>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</si>
  <si>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</si>
  <si>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</si>
  <si>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</si>
  <si>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</si>
  <si>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</si>
  <si>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</si>
  <si>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</si>
  <si>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</si>
  <si>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</si>
  <si>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</si>
  <si>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</si>
  <si>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</si>
  <si>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</si>
  <si>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</si>
  <si>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</si>
  <si>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</si>
  <si>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</si>
  <si>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</si>
  <si>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</si>
  <si>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</si>
  <si>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</si>
  <si>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</si>
  <si>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</si>
  <si>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</si>
  <si>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</si>
  <si>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</si>
  <si>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</si>
  <si>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</si>
  <si>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</si>
  <si>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</si>
  <si>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</si>
  <si>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</si>
  <si>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</si>
  <si>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</si>
  <si>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</si>
  <si>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</si>
  <si>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</si>
  <si>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</si>
  <si>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</si>
  <si>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</si>
  <si>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</si>
  <si>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</si>
  <si>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</si>
  <si>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</si>
  <si>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</si>
  <si>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</si>
  <si>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</si>
  <si>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</si>
  <si>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</si>
  <si>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</si>
  <si>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</si>
  <si>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</si>
  <si>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</si>
  <si>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</si>
  <si>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</si>
  <si>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</si>
  <si>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</si>
  <si>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</si>
  <si>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</si>
  <si>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</si>
  <si>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</si>
  <si>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</si>
  <si>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</si>
  <si>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</si>
  <si>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</si>
  <si>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</si>
  <si>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</si>
  <si>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</si>
  <si>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</si>
  <si>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</si>
  <si>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</si>
  <si>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</si>
  <si>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</si>
  <si>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</si>
  <si>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</si>
  <si>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</si>
  <si>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</si>
  <si>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</si>
  <si>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</si>
  <si>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</si>
  <si>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</si>
  <si>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</si>
  <si>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</si>
  <si>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</si>
  <si>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</si>
  <si>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</si>
  <si>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</si>
  <si>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</si>
  <si>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</si>
  <si>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</si>
  <si>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</si>
  <si>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</si>
  <si>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</si>
  <si>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</si>
  <si>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</si>
  <si>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</si>
  <si>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</si>
  <si>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</si>
  <si>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</si>
  <si>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</si>
  <si>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</si>
  <si>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</si>
  <si>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</si>
  <si>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</si>
  <si>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</si>
  <si>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</si>
  <si>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</si>
  <si>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</si>
  <si>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</si>
  <si>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</si>
  <si>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</si>
  <si>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</si>
  <si>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</si>
  <si>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</si>
  <si>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</si>
  <si>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</si>
  <si>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</si>
  <si>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</si>
  <si>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</si>
  <si>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</si>
  <si>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</si>
  <si>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</si>
  <si>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</si>
  <si>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</si>
  <si>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</si>
  <si>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</si>
  <si>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</si>
  <si>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</si>
  <si>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</si>
  <si>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</si>
  <si>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</si>
  <si>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</si>
  <si>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</si>
  <si>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</si>
  <si>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</si>
  <si>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</si>
  <si>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</si>
  <si>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</si>
  <si>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</si>
  <si>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</si>
  <si>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</si>
  <si>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</si>
  <si>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</si>
  <si>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</si>
  <si>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</si>
  <si>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</si>
  <si>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</si>
  <si>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</si>
  <si>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</si>
  <si>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</si>
  <si>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</si>
  <si>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</si>
  <si>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</si>
  <si>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</si>
  <si>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</si>
  <si>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</si>
  <si>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</si>
  <si>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</si>
  <si>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</si>
  <si>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</si>
  <si>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</si>
  <si>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</si>
  <si>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</si>
  <si>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</si>
  <si>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</si>
  <si>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</si>
  <si>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</si>
  <si>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</si>
  <si>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</si>
  <si>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</si>
  <si>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</si>
  <si>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</si>
  <si>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</si>
  <si>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</si>
  <si>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</si>
  <si>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</si>
  <si>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</si>
  <si>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</si>
  <si>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</si>
  <si>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</si>
  <si>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</si>
  <si>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</si>
  <si>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</si>
  <si>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</si>
  <si>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</si>
  <si>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</si>
  <si>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</si>
  <si>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</si>
  <si>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</si>
  <si>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</si>
  <si>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</si>
  <si>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</si>
  <si>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</si>
  <si>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</si>
  <si>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</si>
  <si>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</si>
  <si>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</si>
  <si>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</si>
  <si>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</si>
  <si>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</si>
  <si>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</si>
  <si>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</si>
  <si>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</si>
  <si>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</si>
  <si>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</si>
  <si>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</si>
  <si>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</si>
  <si>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</si>
  <si>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</si>
  <si>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</si>
  <si>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</si>
  <si>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</si>
  <si>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</si>
  <si>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</si>
  <si>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</si>
  <si>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</si>
  <si>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</si>
  <si>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</si>
  <si>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</si>
  <si>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</si>
  <si>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</si>
  <si>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</si>
  <si>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</si>
  <si>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</si>
  <si>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</si>
  <si>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</si>
  <si>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</si>
  <si>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</si>
  <si>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</si>
  <si>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</si>
  <si>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</si>
  <si>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</si>
  <si>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</si>
  <si>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</si>
  <si>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</si>
  <si>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</si>
  <si>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</si>
  <si>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</si>
  <si>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</si>
  <si>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</si>
  <si>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</si>
  <si>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</si>
  <si>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</si>
  <si>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</si>
  <si>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</si>
  <si>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</si>
  <si>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</si>
  <si>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</si>
  <si>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</si>
  <si>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</si>
  <si>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</si>
  <si>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</si>
  <si>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</si>
  <si>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</si>
  <si>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</si>
  <si>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</si>
  <si>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</si>
  <si>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</si>
  <si>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</si>
  <si>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</si>
  <si>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</si>
  <si>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</si>
  <si>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</si>
  <si>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</si>
  <si>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</si>
  <si>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</si>
  <si>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</si>
  <si>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</si>
  <si>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</si>
  <si>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</si>
  <si>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</si>
  <si>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</si>
  <si>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</si>
  <si>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</si>
  <si>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</si>
  <si>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</si>
  <si>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</si>
  <si>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</si>
  <si>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</si>
  <si>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</si>
  <si>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</si>
  <si>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</si>
  <si>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</si>
  <si>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</si>
  <si>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</si>
  <si>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</si>
  <si>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</si>
  <si>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</si>
  <si>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</si>
  <si>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</si>
  <si>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</si>
  <si>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</si>
  <si>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</si>
  <si>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</si>
  <si>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</si>
  <si>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</si>
  <si>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</si>
  <si>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</si>
  <si>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</si>
  <si>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</si>
  <si>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</si>
  <si>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</si>
  <si>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</si>
  <si>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</si>
  <si>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</si>
  <si>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</si>
  <si>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</si>
  <si>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</si>
  <si>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</si>
  <si>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</si>
  <si>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</si>
  <si>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</si>
  <si>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</si>
  <si>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</si>
  <si>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</si>
  <si>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</si>
  <si>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</si>
  <si>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</si>
  <si>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</si>
  <si>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</si>
  <si>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</si>
  <si>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</si>
  <si>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</si>
  <si>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</si>
  <si>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</si>
  <si>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</si>
  <si>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</si>
  <si>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</si>
  <si>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</si>
  <si>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</si>
  <si>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</si>
  <si>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</si>
  <si>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</si>
  <si>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</si>
  <si>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</si>
  <si>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</si>
  <si>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</si>
  <si>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</si>
  <si>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</si>
  <si>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</si>
  <si>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</si>
  <si>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</si>
  <si>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</si>
  <si>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</si>
  <si>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</si>
  <si>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</si>
  <si>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</si>
  <si>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</si>
  <si>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</si>
  <si>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</si>
  <si>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</si>
  <si>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</si>
  <si>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</si>
  <si>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</si>
  <si>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</si>
  <si>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</si>
  <si>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</si>
  <si>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</si>
  <si>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</si>
  <si>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</si>
  <si>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</si>
  <si>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</si>
  <si>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</si>
  <si>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</si>
  <si>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</si>
  <si>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</si>
  <si>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</si>
  <si>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</si>
  <si>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</si>
  <si>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</si>
  <si>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</si>
  <si>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</si>
  <si>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</si>
  <si>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</si>
  <si>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</si>
  <si>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</si>
  <si>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</si>
  <si>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</si>
  <si>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</si>
  <si>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</si>
  <si>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</si>
  <si>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</si>
  <si>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</si>
  <si>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</si>
  <si>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</si>
  <si>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</si>
  <si>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</si>
  <si>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</si>
  <si>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</si>
  <si>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</si>
  <si>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</si>
  <si>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</si>
  <si>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</si>
  <si>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</si>
  <si>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</si>
  <si>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</si>
  <si>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</si>
  <si>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</si>
  <si>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</si>
  <si>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</si>
  <si>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</si>
  <si>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</si>
  <si>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</si>
  <si>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</si>
  <si>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</si>
  <si>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</si>
  <si>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</si>
  <si>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</si>
  <si>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</si>
  <si>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</si>
  <si>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</si>
  <si>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</si>
  <si>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</si>
  <si>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</si>
  <si>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</si>
  <si>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</si>
  <si>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</si>
  <si>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</si>
  <si>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</si>
  <si>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</si>
  <si>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</si>
  <si>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</si>
  <si>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</si>
  <si>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</si>
  <si>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</si>
  <si>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</si>
  <si>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</si>
  <si>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</si>
  <si>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</si>
  <si>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</si>
  <si>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</si>
  <si>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</si>
  <si>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</si>
  <si>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</si>
  <si>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</si>
  <si>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</si>
  <si>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</si>
  <si>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</si>
  <si>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</si>
  <si>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</si>
  <si>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</si>
  <si>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</si>
  <si>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</si>
  <si>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</si>
  <si>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</si>
  <si>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</si>
  <si>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</si>
  <si>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</si>
  <si>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</si>
  <si>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</si>
  <si>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</si>
  <si>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</si>
  <si>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</si>
  <si>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</si>
  <si>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</si>
  <si>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</si>
  <si>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</si>
  <si>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</si>
  <si>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</si>
  <si>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</si>
  <si>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</si>
  <si>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</si>
  <si>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</si>
  <si>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</si>
  <si>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</si>
  <si>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</si>
  <si>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</si>
  <si>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</si>
  <si>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</si>
  <si>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</si>
  <si>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</si>
  <si>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</si>
  <si>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</si>
  <si>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</si>
  <si>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</si>
  <si>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</si>
  <si>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</si>
  <si>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</si>
  <si>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</si>
  <si>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</si>
  <si>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</si>
  <si>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</si>
  <si>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</si>
  <si>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</si>
  <si>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</si>
  <si>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</si>
  <si>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</si>
  <si>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</si>
  <si>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</si>
  <si>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</si>
  <si>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</si>
  <si>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</si>
  <si>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</si>
  <si>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</si>
  <si>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</si>
  <si>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</si>
  <si>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</si>
  <si>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</si>
  <si>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</si>
  <si>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</si>
  <si>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</si>
  <si>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</si>
  <si>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</si>
  <si>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</si>
  <si>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</si>
  <si>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</si>
  <si>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</si>
  <si>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</si>
  <si>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</si>
  <si>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</si>
  <si>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</si>
  <si>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</si>
  <si>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</si>
  <si>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</si>
  <si>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</si>
  <si>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</si>
  <si>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</si>
  <si>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</si>
  <si>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</si>
  <si>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</si>
  <si>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</si>
  <si>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</si>
  <si>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</si>
  <si>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</si>
  <si>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</si>
  <si>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</si>
  <si>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</si>
  <si>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</si>
  <si>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</si>
  <si>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</si>
  <si>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</si>
  <si>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</si>
  <si>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</si>
  <si>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</si>
  <si>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</si>
  <si>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</si>
  <si>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</si>
  <si>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</si>
  <si>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</si>
  <si>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</si>
  <si>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</si>
  <si>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</si>
  <si>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</si>
  <si>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</si>
  <si>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</si>
  <si>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</si>
  <si>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</si>
  <si>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</si>
  <si>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</si>
  <si>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</si>
  <si>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</si>
  <si>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</si>
  <si>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</si>
  <si>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</si>
  <si>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</si>
  <si>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</si>
  <si>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</si>
  <si>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</si>
  <si>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</si>
  <si>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</si>
  <si>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</si>
  <si>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</si>
  <si>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</si>
  <si>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</si>
  <si>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Pittsfield SD</t>
  </si>
  <si>
    <t>CARPENTER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</si>
</sst>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439</v>
      </c>
      <c r="C2" s="21">
        <v>439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1205928.48</v>
      </c>
      <c r="G9" s="18">
        <v>8696.43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185397.76000000001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86212.19</v>
      </c>
      <c r="G12" s="18"/>
      <c r="H12" s="18">
        <v>918.54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4045.66</v>
      </c>
      <c r="G13" s="18">
        <v>29084</v>
      </c>
      <c r="H13" s="18">
        <v>314397.13</v>
      </c>
      <c r="I13" s="18"/>
      <c r="J13" s="67">
        <f>SUM(I441)</f>
        <v>286607.56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12967.08</v>
      </c>
      <c r="G14" s="18">
        <v>2452.15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7894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1309153.4099999999</v>
      </c>
      <c r="G19" s="41">
        <f>SUM(G9:G18)</f>
        <v>48126.58</v>
      </c>
      <c r="H19" s="41">
        <f>SUM(H9:H18)</f>
        <v>315315.67</v>
      </c>
      <c r="I19" s="41">
        <f>SUM(I9:I18)</f>
        <v>0</v>
      </c>
      <c r="J19" s="41">
        <f>SUM(J9:J18)</f>
        <v>472005.32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39092.559999999998</v>
      </c>
      <c r="H22" s="18">
        <v>55426.26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338317.8</v>
      </c>
      <c r="G24" s="18">
        <v>153.6</v>
      </c>
      <c r="H24" s="18">
        <v>115.6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713449.35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258855.27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1051767.1499999999</v>
      </c>
      <c r="G32" s="41">
        <f>SUM(G22:G31)</f>
        <v>39246.159999999996</v>
      </c>
      <c r="H32" s="41">
        <f>SUM(H22:H31)</f>
        <v>314397.13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7894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185397.76000000001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986.42</v>
      </c>
      <c r="H47" s="18">
        <v>918.54</v>
      </c>
      <c r="I47" s="18"/>
      <c r="J47" s="13">
        <f>SUM(I458)</f>
        <v>286607.56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157386.26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257386.26</v>
      </c>
      <c r="G50" s="41">
        <f>SUM(G35:G49)</f>
        <v>8880.42</v>
      </c>
      <c r="H50" s="41">
        <f>SUM(H35:H49)</f>
        <v>918.54</v>
      </c>
      <c r="I50" s="41">
        <f>SUM(I35:I49)</f>
        <v>0</v>
      </c>
      <c r="J50" s="41">
        <f>SUM(J35:J49)</f>
        <v>472005.32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1309153.4099999999</v>
      </c>
      <c r="G51" s="41">
        <f>G50+G32</f>
        <v>48126.579999999994</v>
      </c>
      <c r="H51" s="41">
        <f>H50+H32</f>
        <v>315315.67</v>
      </c>
      <c r="I51" s="41">
        <f>I50+I32</f>
        <v>0</v>
      </c>
      <c r="J51" s="41">
        <f>J50+J32</f>
        <v>472005.32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4392786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4392786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16732.7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6252.8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22985.5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445.61</v>
      </c>
      <c r="G95" s="18">
        <v>33.89</v>
      </c>
      <c r="H95" s="18"/>
      <c r="I95" s="18"/>
      <c r="J95" s="18">
        <v>5638.81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105226.5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246179.76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>
        <v>7390.78</v>
      </c>
      <c r="I109" s="18"/>
      <c r="J109" s="18">
        <v>1378.04</v>
      </c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645.61</v>
      </c>
      <c r="G110" s="41">
        <f>SUM(G95:G109)</f>
        <v>105260.39</v>
      </c>
      <c r="H110" s="41">
        <f>SUM(H95:H109)</f>
        <v>253570.54</v>
      </c>
      <c r="I110" s="41">
        <f>SUM(I95:I109)</f>
        <v>0</v>
      </c>
      <c r="J110" s="41">
        <f>SUM(J95:J109)</f>
        <v>7016.85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4416417.1100000003</v>
      </c>
      <c r="G111" s="41">
        <f>G59+G110</f>
        <v>105260.39</v>
      </c>
      <c r="H111" s="41">
        <f>H59+H78+H93+H110</f>
        <v>253570.54</v>
      </c>
      <c r="I111" s="41">
        <f>I59+I110</f>
        <v>0</v>
      </c>
      <c r="J111" s="41">
        <f>J59+J110</f>
        <v>7016.85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4198415.3499999996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616174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3637.65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7800.47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4826027.47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97763.27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260271.85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1922.63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2849.91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359957.75</v>
      </c>
      <c r="G135" s="41">
        <f>SUM(G122:G134)</f>
        <v>2849.91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5185985.22</v>
      </c>
      <c r="G139" s="41">
        <f>G120+SUM(G135:G136)</f>
        <v>2849.91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103941.27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103941.27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818499.7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68046.210000000006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172051.32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162543.38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221398.1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1590.3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221398.1</v>
      </c>
      <c r="G161" s="41">
        <f>SUM(G149:G160)</f>
        <v>172051.32</v>
      </c>
      <c r="H161" s="41">
        <f>SUM(H149:H160)</f>
        <v>1050679.5900000001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33963.39</v>
      </c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221398.1</v>
      </c>
      <c r="G168" s="41">
        <f>G146+G161+SUM(G162:G167)</f>
        <v>172051.32</v>
      </c>
      <c r="H168" s="41">
        <f>H146+H161+SUM(H162:H167)</f>
        <v>1188584.25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8036.44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8036.44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8036.44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9831836.8699999992</v>
      </c>
      <c r="G192" s="47">
        <f>G111+G139+G168+G191</f>
        <v>280161.62</v>
      </c>
      <c r="H192" s="47">
        <f>H111+H139+H168+H191</f>
        <v>1442154.79</v>
      </c>
      <c r="I192" s="47">
        <f>I111+I139+I168+I191</f>
        <v>0</v>
      </c>
      <c r="J192" s="47">
        <f>J111+J139+J191</f>
        <v>57016.85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874467.51</v>
      </c>
      <c r="G196" s="18">
        <v>433595.67</v>
      </c>
      <c r="H196" s="18">
        <v>4783.78</v>
      </c>
      <c r="I196" s="18">
        <v>41741.79</v>
      </c>
      <c r="J196" s="18"/>
      <c r="K196" s="18">
        <v>5506.4</v>
      </c>
      <c r="L196" s="19">
        <f>SUM(F196:K196)</f>
        <v>1360095.15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643744.37</v>
      </c>
      <c r="G197" s="18">
        <v>234607.28</v>
      </c>
      <c r="H197" s="18">
        <v>71471.38</v>
      </c>
      <c r="I197" s="18">
        <v>743.97</v>
      </c>
      <c r="J197" s="18"/>
      <c r="K197" s="18">
        <v>963.83</v>
      </c>
      <c r="L197" s="19">
        <f>SUM(F197:K197)</f>
        <v>951530.83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207998.63</v>
      </c>
      <c r="G201" s="18">
        <v>89045.08</v>
      </c>
      <c r="H201" s="18">
        <v>77758.78</v>
      </c>
      <c r="I201" s="18">
        <v>2061.92</v>
      </c>
      <c r="J201" s="18">
        <v>131.94999999999999</v>
      </c>
      <c r="K201" s="18"/>
      <c r="L201" s="19">
        <f t="shared" ref="L201:L207" si="0">SUM(F201:K201)</f>
        <v>376996.36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86583.62</v>
      </c>
      <c r="G202" s="18">
        <v>28660.43</v>
      </c>
      <c r="H202" s="18">
        <v>47365.34</v>
      </c>
      <c r="I202" s="18">
        <v>13248.46</v>
      </c>
      <c r="J202" s="18">
        <v>36277.42</v>
      </c>
      <c r="K202" s="18">
        <v>4724.34</v>
      </c>
      <c r="L202" s="19">
        <f t="shared" si="0"/>
        <v>216859.60999999996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109733.8</v>
      </c>
      <c r="G203" s="18">
        <v>61299.94</v>
      </c>
      <c r="H203" s="18">
        <v>28005.66</v>
      </c>
      <c r="I203" s="18">
        <v>4798.53</v>
      </c>
      <c r="J203" s="18">
        <v>7026.11</v>
      </c>
      <c r="K203" s="18">
        <v>3615.57</v>
      </c>
      <c r="L203" s="19">
        <f t="shared" si="0"/>
        <v>214479.61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258797.28</v>
      </c>
      <c r="G204" s="18">
        <v>119887.31</v>
      </c>
      <c r="H204" s="18">
        <v>17014.88</v>
      </c>
      <c r="I204" s="18">
        <v>2692.42</v>
      </c>
      <c r="J204" s="18"/>
      <c r="K204" s="18">
        <v>1521.11</v>
      </c>
      <c r="L204" s="19">
        <f t="shared" si="0"/>
        <v>399912.99999999994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94341.47</v>
      </c>
      <c r="G206" s="18">
        <v>68174.98</v>
      </c>
      <c r="H206" s="18">
        <v>314673.07</v>
      </c>
      <c r="I206" s="18">
        <v>97106.6</v>
      </c>
      <c r="J206" s="18">
        <v>20471.27</v>
      </c>
      <c r="K206" s="18"/>
      <c r="L206" s="19">
        <f t="shared" si="0"/>
        <v>594767.39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157307.41</v>
      </c>
      <c r="I207" s="18"/>
      <c r="J207" s="18"/>
      <c r="K207" s="18"/>
      <c r="L207" s="19">
        <f t="shared" si="0"/>
        <v>157307.41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2275666.6800000002</v>
      </c>
      <c r="G210" s="41">
        <f t="shared" si="1"/>
        <v>1035270.69</v>
      </c>
      <c r="H210" s="41">
        <f t="shared" si="1"/>
        <v>718380.3</v>
      </c>
      <c r="I210" s="41">
        <f t="shared" si="1"/>
        <v>162393.69</v>
      </c>
      <c r="J210" s="41">
        <f t="shared" si="1"/>
        <v>63906.75</v>
      </c>
      <c r="K210" s="41">
        <f t="shared" si="1"/>
        <v>16331.25</v>
      </c>
      <c r="L210" s="41">
        <f t="shared" si="1"/>
        <v>4271949.3599999994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246885.23</v>
      </c>
      <c r="G214" s="18">
        <v>154842.18</v>
      </c>
      <c r="H214" s="18"/>
      <c r="I214" s="18">
        <v>11453.29</v>
      </c>
      <c r="J214" s="18">
        <v>14592.3</v>
      </c>
      <c r="K214" s="18">
        <v>1270.3499999999999</v>
      </c>
      <c r="L214" s="19">
        <f>SUM(F214:K214)</f>
        <v>429043.35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169498.21</v>
      </c>
      <c r="G215" s="18">
        <v>67804.320000000007</v>
      </c>
      <c r="H215" s="18">
        <v>49467.99</v>
      </c>
      <c r="I215" s="18">
        <v>455</v>
      </c>
      <c r="J215" s="18"/>
      <c r="K215" s="18">
        <v>395.83</v>
      </c>
      <c r="L215" s="19">
        <f>SUM(F215:K215)</f>
        <v>287621.35000000003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12993.25</v>
      </c>
      <c r="G217" s="18">
        <v>2108.1799999999998</v>
      </c>
      <c r="H217" s="18">
        <v>5917.87</v>
      </c>
      <c r="I217" s="18">
        <v>2283.62</v>
      </c>
      <c r="J217" s="18"/>
      <c r="K217" s="18">
        <v>1662.5</v>
      </c>
      <c r="L217" s="19">
        <f>SUM(F217:K217)</f>
        <v>24965.42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31844.29</v>
      </c>
      <c r="G219" s="18">
        <v>15947.03</v>
      </c>
      <c r="H219" s="18">
        <v>36094.44</v>
      </c>
      <c r="I219" s="18">
        <v>467.67</v>
      </c>
      <c r="J219" s="18">
        <v>372.74</v>
      </c>
      <c r="K219" s="18">
        <v>98</v>
      </c>
      <c r="L219" s="19">
        <f t="shared" ref="L219:L225" si="2">SUM(F219:K219)</f>
        <v>84824.170000000013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28985.94</v>
      </c>
      <c r="G220" s="18">
        <v>17920.68</v>
      </c>
      <c r="H220" s="18">
        <v>19157.25</v>
      </c>
      <c r="I220" s="18">
        <v>5146.32</v>
      </c>
      <c r="J220" s="18">
        <v>17642.060000000001</v>
      </c>
      <c r="K220" s="18">
        <v>436.1</v>
      </c>
      <c r="L220" s="19">
        <f t="shared" si="2"/>
        <v>89288.35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29927.4</v>
      </c>
      <c r="G221" s="18">
        <v>16738.43</v>
      </c>
      <c r="H221" s="18">
        <v>7637.9</v>
      </c>
      <c r="I221" s="18">
        <v>1308.68</v>
      </c>
      <c r="J221" s="18">
        <v>1916.21</v>
      </c>
      <c r="K221" s="18">
        <v>986.06</v>
      </c>
      <c r="L221" s="19">
        <f t="shared" si="2"/>
        <v>58514.68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93896.4</v>
      </c>
      <c r="G222" s="18">
        <v>43143.97</v>
      </c>
      <c r="H222" s="18">
        <v>9971.6</v>
      </c>
      <c r="I222" s="18">
        <v>2285.06</v>
      </c>
      <c r="J222" s="18"/>
      <c r="K222" s="18">
        <v>1249.48</v>
      </c>
      <c r="L222" s="19">
        <f t="shared" si="2"/>
        <v>150546.51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39299.129999999997</v>
      </c>
      <c r="G224" s="18">
        <v>27560.29</v>
      </c>
      <c r="H224" s="18">
        <v>63616.23</v>
      </c>
      <c r="I224" s="18">
        <v>61893.120000000003</v>
      </c>
      <c r="J224" s="18">
        <v>2772</v>
      </c>
      <c r="K224" s="18">
        <v>96.25</v>
      </c>
      <c r="L224" s="19">
        <f t="shared" si="2"/>
        <v>195237.02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45021.23</v>
      </c>
      <c r="I225" s="18"/>
      <c r="J225" s="18"/>
      <c r="K225" s="18"/>
      <c r="L225" s="19">
        <f t="shared" si="2"/>
        <v>45021.23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653329.85</v>
      </c>
      <c r="G228" s="41">
        <f>SUM(G214:G227)</f>
        <v>346065.08</v>
      </c>
      <c r="H228" s="41">
        <f>SUM(H214:H227)</f>
        <v>236884.51</v>
      </c>
      <c r="I228" s="41">
        <f>SUM(I214:I227)</f>
        <v>85292.760000000009</v>
      </c>
      <c r="J228" s="41">
        <f>SUM(J214:J227)</f>
        <v>37295.31</v>
      </c>
      <c r="K228" s="41">
        <f t="shared" si="3"/>
        <v>6194.57</v>
      </c>
      <c r="L228" s="41">
        <f t="shared" si="3"/>
        <v>1365062.08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642695.6</v>
      </c>
      <c r="G232" s="18">
        <v>291260.69</v>
      </c>
      <c r="H232" s="18">
        <v>11000</v>
      </c>
      <c r="I232" s="18">
        <v>31239.27</v>
      </c>
      <c r="J232" s="18">
        <v>27100.02</v>
      </c>
      <c r="K232" s="18">
        <v>3373.79</v>
      </c>
      <c r="L232" s="19">
        <f>SUM(F232:K232)</f>
        <v>1006669.3700000001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233155.89</v>
      </c>
      <c r="G233" s="18">
        <v>111700.7</v>
      </c>
      <c r="H233" s="18">
        <v>692941.2</v>
      </c>
      <c r="I233" s="18">
        <v>729.02</v>
      </c>
      <c r="J233" s="18"/>
      <c r="K233" s="18">
        <v>678.44</v>
      </c>
      <c r="L233" s="19">
        <f>SUM(F233:K233)</f>
        <v>1039205.25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18080.02</v>
      </c>
      <c r="I234" s="18"/>
      <c r="J234" s="18"/>
      <c r="K234" s="18"/>
      <c r="L234" s="19">
        <f>SUM(F234:K234)</f>
        <v>18080.02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33274.75</v>
      </c>
      <c r="G235" s="18">
        <v>4303.8100000000004</v>
      </c>
      <c r="H235" s="18">
        <v>12431.13</v>
      </c>
      <c r="I235" s="18">
        <v>8442.61</v>
      </c>
      <c r="J235" s="18"/>
      <c r="K235" s="18">
        <v>3923.5</v>
      </c>
      <c r="L235" s="19">
        <f>SUM(F235:K235)</f>
        <v>62375.799999999996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146572.49</v>
      </c>
      <c r="G237" s="18">
        <v>75549.210000000006</v>
      </c>
      <c r="H237" s="18">
        <v>23142.43</v>
      </c>
      <c r="I237" s="18">
        <v>649.53</v>
      </c>
      <c r="J237" s="18">
        <v>692.25</v>
      </c>
      <c r="K237" s="18">
        <v>247</v>
      </c>
      <c r="L237" s="19">
        <f t="shared" ref="L237:L243" si="4">SUM(F237:K237)</f>
        <v>246852.91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60805.46</v>
      </c>
      <c r="G238" s="18">
        <v>31521.26</v>
      </c>
      <c r="H238" s="18">
        <v>34864.04</v>
      </c>
      <c r="I238" s="18">
        <v>9571.09</v>
      </c>
      <c r="J238" s="18">
        <v>34233.42</v>
      </c>
      <c r="K238" s="18">
        <v>809.9</v>
      </c>
      <c r="L238" s="19">
        <f t="shared" si="4"/>
        <v>171805.17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59854.8</v>
      </c>
      <c r="G239" s="18">
        <v>33463.78</v>
      </c>
      <c r="H239" s="18">
        <v>15275.81</v>
      </c>
      <c r="I239" s="18">
        <v>2617.38</v>
      </c>
      <c r="J239" s="18">
        <v>3832.42</v>
      </c>
      <c r="K239" s="18">
        <v>1972.14</v>
      </c>
      <c r="L239" s="19">
        <f t="shared" si="4"/>
        <v>117016.33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174436.37</v>
      </c>
      <c r="G240" s="18">
        <v>79887.56</v>
      </c>
      <c r="H240" s="18">
        <v>19203.669999999998</v>
      </c>
      <c r="I240" s="18">
        <v>4862.41</v>
      </c>
      <c r="J240" s="18"/>
      <c r="K240" s="18">
        <v>2310.61</v>
      </c>
      <c r="L240" s="19">
        <f t="shared" si="4"/>
        <v>280700.61999999994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72515.22</v>
      </c>
      <c r="G242" s="18">
        <v>51029.18</v>
      </c>
      <c r="H242" s="18">
        <v>119646.23</v>
      </c>
      <c r="I242" s="18">
        <v>116174.16</v>
      </c>
      <c r="J242" s="18">
        <v>5148</v>
      </c>
      <c r="K242" s="18">
        <v>109.5</v>
      </c>
      <c r="L242" s="19">
        <f t="shared" si="4"/>
        <v>364622.29000000004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340050.37</v>
      </c>
      <c r="I243" s="18"/>
      <c r="J243" s="18"/>
      <c r="K243" s="18"/>
      <c r="L243" s="19">
        <f t="shared" si="4"/>
        <v>340050.37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1423310.5799999998</v>
      </c>
      <c r="G246" s="41">
        <f t="shared" si="5"/>
        <v>678716.19000000006</v>
      </c>
      <c r="H246" s="41">
        <f t="shared" si="5"/>
        <v>1286634.9000000001</v>
      </c>
      <c r="I246" s="41">
        <f t="shared" si="5"/>
        <v>174285.47</v>
      </c>
      <c r="J246" s="41">
        <f t="shared" si="5"/>
        <v>71006.11</v>
      </c>
      <c r="K246" s="41">
        <f t="shared" si="5"/>
        <v>13424.88</v>
      </c>
      <c r="L246" s="41">
        <f t="shared" si="5"/>
        <v>3647378.1300000004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>
        <v>0</v>
      </c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4352307.1100000003</v>
      </c>
      <c r="G256" s="41">
        <f t="shared" si="8"/>
        <v>2060051.96</v>
      </c>
      <c r="H256" s="41">
        <f t="shared" si="8"/>
        <v>2241899.71</v>
      </c>
      <c r="I256" s="41">
        <f t="shared" si="8"/>
        <v>421971.92000000004</v>
      </c>
      <c r="J256" s="41">
        <f t="shared" si="8"/>
        <v>172208.16999999998</v>
      </c>
      <c r="K256" s="41">
        <f t="shared" si="8"/>
        <v>35950.699999999997</v>
      </c>
      <c r="L256" s="41">
        <f t="shared" si="8"/>
        <v>9284389.5700000003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265000</v>
      </c>
      <c r="L259" s="19">
        <f>SUM(F259:K259)</f>
        <v>265000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133758.76</v>
      </c>
      <c r="L260" s="19">
        <f>SUM(F260:K260)</f>
        <v>133758.76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448758.76</v>
      </c>
      <c r="L269" s="41">
        <f t="shared" si="9"/>
        <v>448758.76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4352307.1100000003</v>
      </c>
      <c r="G270" s="42">
        <f t="shared" si="11"/>
        <v>2060051.96</v>
      </c>
      <c r="H270" s="42">
        <f t="shared" si="11"/>
        <v>2241899.71</v>
      </c>
      <c r="I270" s="42">
        <f t="shared" si="11"/>
        <v>421971.92000000004</v>
      </c>
      <c r="J270" s="42">
        <f t="shared" si="11"/>
        <v>172208.16999999998</v>
      </c>
      <c r="K270" s="42">
        <f t="shared" si="11"/>
        <v>484709.46</v>
      </c>
      <c r="L270" s="42">
        <f t="shared" si="11"/>
        <v>9733148.3300000001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160334.51999999999</v>
      </c>
      <c r="G275" s="18">
        <v>53675.95</v>
      </c>
      <c r="H275" s="18">
        <v>8767.15</v>
      </c>
      <c r="I275" s="18">
        <v>5081.6899999999996</v>
      </c>
      <c r="J275" s="18"/>
      <c r="K275" s="18">
        <v>1351.64</v>
      </c>
      <c r="L275" s="19">
        <f>SUM(F275:K275)</f>
        <v>229210.94999999998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28677.61</v>
      </c>
      <c r="G276" s="18">
        <v>2447.36</v>
      </c>
      <c r="H276" s="18">
        <v>5764.77</v>
      </c>
      <c r="I276" s="18">
        <v>11013.26</v>
      </c>
      <c r="J276" s="18">
        <v>8164.58</v>
      </c>
      <c r="K276" s="18"/>
      <c r="L276" s="19">
        <f>SUM(F276:K276)</f>
        <v>56067.580000000009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7367.11</v>
      </c>
      <c r="G278" s="18">
        <v>1114.8599999999999</v>
      </c>
      <c r="H278" s="18"/>
      <c r="I278" s="18"/>
      <c r="J278" s="18"/>
      <c r="K278" s="18"/>
      <c r="L278" s="19">
        <f>SUM(F278:K278)</f>
        <v>8481.9699999999993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27869.18</v>
      </c>
      <c r="G280" s="18">
        <v>14797.2</v>
      </c>
      <c r="H280" s="18"/>
      <c r="I280" s="18">
        <v>516.74</v>
      </c>
      <c r="J280" s="18"/>
      <c r="K280" s="18"/>
      <c r="L280" s="19">
        <f t="shared" ref="L280:L286" si="12">SUM(F280:K280)</f>
        <v>43183.12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22255.62</v>
      </c>
      <c r="G281" s="18">
        <v>14943.92</v>
      </c>
      <c r="H281" s="18">
        <v>34825.919999999998</v>
      </c>
      <c r="I281" s="18">
        <v>248.24</v>
      </c>
      <c r="J281" s="18"/>
      <c r="K281" s="18"/>
      <c r="L281" s="19">
        <f t="shared" si="12"/>
        <v>72273.7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9543.25</v>
      </c>
      <c r="G283" s="18">
        <v>5628.69</v>
      </c>
      <c r="H283" s="18"/>
      <c r="I283" s="18"/>
      <c r="J283" s="18"/>
      <c r="K283" s="18"/>
      <c r="L283" s="19">
        <f t="shared" si="12"/>
        <v>15171.939999999999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1590.3</v>
      </c>
      <c r="I285" s="18"/>
      <c r="J285" s="18">
        <v>2859.32</v>
      </c>
      <c r="K285" s="18"/>
      <c r="L285" s="19">
        <f t="shared" si="12"/>
        <v>4449.62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256047.28999999998</v>
      </c>
      <c r="G289" s="42">
        <f t="shared" si="13"/>
        <v>92607.98</v>
      </c>
      <c r="H289" s="42">
        <f t="shared" si="13"/>
        <v>50948.14</v>
      </c>
      <c r="I289" s="42">
        <f t="shared" si="13"/>
        <v>16859.930000000004</v>
      </c>
      <c r="J289" s="42">
        <f t="shared" si="13"/>
        <v>11023.9</v>
      </c>
      <c r="K289" s="42">
        <f t="shared" si="13"/>
        <v>1351.64</v>
      </c>
      <c r="L289" s="41">
        <f t="shared" si="13"/>
        <v>428838.87999999995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20319.47</v>
      </c>
      <c r="G294" s="18">
        <v>10711.75</v>
      </c>
      <c r="H294" s="18">
        <v>1630</v>
      </c>
      <c r="I294" s="18">
        <v>20998.91</v>
      </c>
      <c r="J294" s="18"/>
      <c r="K294" s="18">
        <v>1240.75</v>
      </c>
      <c r="L294" s="19">
        <f>SUM(F294:K294)</f>
        <v>54900.880000000005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1915.78</v>
      </c>
      <c r="G295" s="18">
        <v>158.19999999999999</v>
      </c>
      <c r="H295" s="18">
        <v>1657.89</v>
      </c>
      <c r="I295" s="18">
        <v>528.15</v>
      </c>
      <c r="J295" s="18">
        <v>3420.89</v>
      </c>
      <c r="K295" s="18"/>
      <c r="L295" s="19">
        <f>SUM(F295:K295)</f>
        <v>7680.91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>
        <v>475.86</v>
      </c>
      <c r="J297" s="18"/>
      <c r="K297" s="18"/>
      <c r="L297" s="19">
        <f>SUM(F297:K297)</f>
        <v>475.86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24814.400000000001</v>
      </c>
      <c r="G299" s="18">
        <v>7059.17</v>
      </c>
      <c r="H299" s="18"/>
      <c r="I299" s="18">
        <v>126.92</v>
      </c>
      <c r="J299" s="18"/>
      <c r="K299" s="18"/>
      <c r="L299" s="19">
        <f t="shared" ref="L299:L305" si="14">SUM(F299:K299)</f>
        <v>32000.489999999998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41753.019999999997</v>
      </c>
      <c r="G300" s="18">
        <v>12439.27</v>
      </c>
      <c r="H300" s="18">
        <v>133640.09</v>
      </c>
      <c r="I300" s="18">
        <v>4003.74</v>
      </c>
      <c r="J300" s="18"/>
      <c r="K300" s="18"/>
      <c r="L300" s="19">
        <f t="shared" si="14"/>
        <v>191836.12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>
        <v>96.38</v>
      </c>
      <c r="K304" s="18"/>
      <c r="L304" s="19">
        <f t="shared" si="14"/>
        <v>96.38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3450.81</v>
      </c>
      <c r="I305" s="18"/>
      <c r="J305" s="18"/>
      <c r="K305" s="18"/>
      <c r="L305" s="19">
        <f t="shared" si="14"/>
        <v>3450.81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88802.67</v>
      </c>
      <c r="G308" s="42">
        <f t="shared" si="15"/>
        <v>30368.390000000003</v>
      </c>
      <c r="H308" s="42">
        <f t="shared" si="15"/>
        <v>140378.79</v>
      </c>
      <c r="I308" s="42">
        <f t="shared" si="15"/>
        <v>26133.58</v>
      </c>
      <c r="J308" s="42">
        <f t="shared" si="15"/>
        <v>3517.27</v>
      </c>
      <c r="K308" s="42">
        <f t="shared" si="15"/>
        <v>1240.75</v>
      </c>
      <c r="L308" s="41">
        <f t="shared" si="15"/>
        <v>290441.45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40930.75</v>
      </c>
      <c r="G313" s="18">
        <v>23158.81</v>
      </c>
      <c r="H313" s="18">
        <v>57400</v>
      </c>
      <c r="I313" s="18">
        <v>753</v>
      </c>
      <c r="J313" s="18"/>
      <c r="K313" s="18">
        <v>2304.25</v>
      </c>
      <c r="L313" s="19">
        <f>SUM(F313:K313)</f>
        <v>124546.81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29894.67</v>
      </c>
      <c r="G314" s="18">
        <v>3481.26</v>
      </c>
      <c r="H314" s="18">
        <v>3171.86</v>
      </c>
      <c r="I314" s="18">
        <v>1083.3800000000001</v>
      </c>
      <c r="J314" s="18">
        <v>5378.06</v>
      </c>
      <c r="K314" s="18"/>
      <c r="L314" s="19">
        <f>SUM(F314:K314)</f>
        <v>43009.229999999996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>
        <v>8027.56</v>
      </c>
      <c r="J316" s="18"/>
      <c r="K316" s="18"/>
      <c r="L316" s="19">
        <f>SUM(F316:K316)</f>
        <v>8027.56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32748.400000000001</v>
      </c>
      <c r="G318" s="18">
        <v>10999.08</v>
      </c>
      <c r="H318" s="18"/>
      <c r="I318" s="18">
        <v>262.91000000000003</v>
      </c>
      <c r="J318" s="18"/>
      <c r="K318" s="18"/>
      <c r="L318" s="19">
        <f t="shared" ref="L318:L324" si="16">SUM(F318:K318)</f>
        <v>44010.390000000007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78325.95</v>
      </c>
      <c r="G319" s="18">
        <v>18791.580000000002</v>
      </c>
      <c r="H319" s="18">
        <v>321228.82</v>
      </c>
      <c r="I319" s="18">
        <v>15772.72</v>
      </c>
      <c r="J319" s="18">
        <v>584.20000000000005</v>
      </c>
      <c r="K319" s="18"/>
      <c r="L319" s="19">
        <f t="shared" si="16"/>
        <v>434703.26999999996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41925.82</v>
      </c>
      <c r="G321" s="18">
        <v>3623.8</v>
      </c>
      <c r="H321" s="18"/>
      <c r="I321" s="18"/>
      <c r="J321" s="18"/>
      <c r="K321" s="18"/>
      <c r="L321" s="19">
        <f t="shared" si="16"/>
        <v>45549.62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>
        <v>257.02999999999997</v>
      </c>
      <c r="K323" s="18"/>
      <c r="L323" s="19">
        <f t="shared" si="16"/>
        <v>257.02999999999997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7343.33</v>
      </c>
      <c r="I324" s="18"/>
      <c r="J324" s="18"/>
      <c r="K324" s="18"/>
      <c r="L324" s="19">
        <f t="shared" si="16"/>
        <v>7343.33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223825.59000000003</v>
      </c>
      <c r="G327" s="42">
        <f t="shared" si="17"/>
        <v>60054.530000000006</v>
      </c>
      <c r="H327" s="42">
        <f t="shared" si="17"/>
        <v>389144.01</v>
      </c>
      <c r="I327" s="42">
        <f t="shared" si="17"/>
        <v>25899.57</v>
      </c>
      <c r="J327" s="42">
        <f t="shared" si="17"/>
        <v>6219.29</v>
      </c>
      <c r="K327" s="42">
        <f t="shared" si="17"/>
        <v>2304.25</v>
      </c>
      <c r="L327" s="41">
        <f t="shared" si="17"/>
        <v>707447.24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6800</v>
      </c>
      <c r="I334" s="18"/>
      <c r="J334" s="18"/>
      <c r="K334" s="18"/>
      <c r="L334" s="19">
        <f t="shared" si="18"/>
        <v>6800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6800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6800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568675.55000000005</v>
      </c>
      <c r="G337" s="41">
        <f t="shared" si="20"/>
        <v>183030.9</v>
      </c>
      <c r="H337" s="41">
        <f t="shared" si="20"/>
        <v>587270.93999999994</v>
      </c>
      <c r="I337" s="41">
        <f t="shared" si="20"/>
        <v>68893.080000000016</v>
      </c>
      <c r="J337" s="41">
        <f t="shared" si="20"/>
        <v>20760.46</v>
      </c>
      <c r="K337" s="41">
        <f t="shared" si="20"/>
        <v>4896.6400000000003</v>
      </c>
      <c r="L337" s="41">
        <f t="shared" si="20"/>
        <v>1433527.5699999998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8036.44</v>
      </c>
      <c r="L343" s="19">
        <f t="shared" ref="L343:L349" si="21">SUM(F343:K343)</f>
        <v>8036.44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8036.44</v>
      </c>
      <c r="L350" s="41">
        <f>SUM(L340:L349)</f>
        <v>8036.44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568675.55000000005</v>
      </c>
      <c r="G351" s="41">
        <f>G337</f>
        <v>183030.9</v>
      </c>
      <c r="H351" s="41">
        <f>H337</f>
        <v>587270.93999999994</v>
      </c>
      <c r="I351" s="41">
        <f>I337</f>
        <v>68893.080000000016</v>
      </c>
      <c r="J351" s="41">
        <f>J337</f>
        <v>20760.46</v>
      </c>
      <c r="K351" s="47">
        <f>K337+K350</f>
        <v>12933.08</v>
      </c>
      <c r="L351" s="41">
        <f>L337+L350</f>
        <v>1441564.0099999998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121273.74</v>
      </c>
      <c r="I357" s="18">
        <v>6393.72</v>
      </c>
      <c r="J357" s="18"/>
      <c r="K357" s="18"/>
      <c r="L357" s="13">
        <f>SUM(F357:K357)</f>
        <v>127667.46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48532.59</v>
      </c>
      <c r="I358" s="18">
        <v>2087.75</v>
      </c>
      <c r="J358" s="18"/>
      <c r="K358" s="18"/>
      <c r="L358" s="19">
        <f>SUM(F358:K358)</f>
        <v>50620.34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99706.74</v>
      </c>
      <c r="I359" s="18">
        <v>4566.9399999999996</v>
      </c>
      <c r="J359" s="18"/>
      <c r="K359" s="18"/>
      <c r="L359" s="19">
        <f>SUM(F359:K359)</f>
        <v>104273.68000000001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269513.07</v>
      </c>
      <c r="I361" s="47">
        <f t="shared" si="22"/>
        <v>13048.41</v>
      </c>
      <c r="J361" s="47">
        <f t="shared" si="22"/>
        <v>0</v>
      </c>
      <c r="K361" s="47">
        <f t="shared" si="22"/>
        <v>0</v>
      </c>
      <c r="L361" s="47">
        <f t="shared" si="22"/>
        <v>282561.48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6393.72</v>
      </c>
      <c r="G367" s="63">
        <v>2087.75</v>
      </c>
      <c r="H367" s="63">
        <v>4566.9399999999996</v>
      </c>
      <c r="I367" s="56">
        <f>SUM(F367:H367)</f>
        <v>13048.41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6393.72</v>
      </c>
      <c r="G368" s="47">
        <f>SUM(G366:G367)</f>
        <v>2087.75</v>
      </c>
      <c r="H368" s="47">
        <f>SUM(H366:H367)</f>
        <v>4566.9399999999996</v>
      </c>
      <c r="I368" s="47">
        <f>SUM(I366:I367)</f>
        <v>13048.41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>
        <v>12.38</v>
      </c>
      <c r="I390" s="18"/>
      <c r="J390" s="24" t="s">
        <v>289</v>
      </c>
      <c r="K390" s="24" t="s">
        <v>289</v>
      </c>
      <c r="L390" s="56">
        <f t="shared" si="25"/>
        <v>12.38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130.24</v>
      </c>
      <c r="I391" s="18"/>
      <c r="J391" s="24" t="s">
        <v>289</v>
      </c>
      <c r="K391" s="24" t="s">
        <v>289</v>
      </c>
      <c r="L391" s="56">
        <f t="shared" si="25"/>
        <v>130.24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142.62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142.62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v>69.36</v>
      </c>
      <c r="I395" s="18"/>
      <c r="J395" s="24" t="s">
        <v>289</v>
      </c>
      <c r="K395" s="24" t="s">
        <v>289</v>
      </c>
      <c r="L395" s="56">
        <f t="shared" si="26"/>
        <v>50069.36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69.36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50069.36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 t="s">
        <v>910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v>5426.83</v>
      </c>
      <c r="I402" s="18">
        <v>1378.04</v>
      </c>
      <c r="J402" s="24" t="s">
        <v>289</v>
      </c>
      <c r="K402" s="24" t="s">
        <v>289</v>
      </c>
      <c r="L402" s="56">
        <f>SUM(F402:K402)</f>
        <v>6804.87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5426.83</v>
      </c>
      <c r="I406" s="47">
        <f>SUM(I402:I405)</f>
        <v>1378.04</v>
      </c>
      <c r="J406" s="49" t="s">
        <v>289</v>
      </c>
      <c r="K406" s="49" t="s">
        <v>289</v>
      </c>
      <c r="L406" s="47">
        <f>SUM(L402:L405)</f>
        <v>6804.87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5638.8099999999995</v>
      </c>
      <c r="I407" s="47">
        <f>I392+I400+I406</f>
        <v>1378.04</v>
      </c>
      <c r="J407" s="24" t="s">
        <v>289</v>
      </c>
      <c r="K407" s="24" t="s">
        <v>289</v>
      </c>
      <c r="L407" s="47">
        <f>L392+L400+L406</f>
        <v>57016.850000000006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 t="s">
        <v>910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>
        <v>3490</v>
      </c>
      <c r="J428" s="18"/>
      <c r="K428" s="18">
        <v>7390.78</v>
      </c>
      <c r="L428" s="56">
        <f>SUM(F428:K428)</f>
        <v>10880.779999999999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3490</v>
      </c>
      <c r="J432" s="47">
        <f t="shared" si="31"/>
        <v>0</v>
      </c>
      <c r="K432" s="47">
        <f t="shared" si="31"/>
        <v>7390.78</v>
      </c>
      <c r="L432" s="47">
        <f t="shared" si="31"/>
        <v>10880.779999999999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3490</v>
      </c>
      <c r="J433" s="47">
        <f t="shared" si="32"/>
        <v>0</v>
      </c>
      <c r="K433" s="47">
        <f t="shared" si="32"/>
        <v>7390.78</v>
      </c>
      <c r="L433" s="47">
        <f t="shared" si="32"/>
        <v>10880.779999999999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v>185397.76000000001</v>
      </c>
      <c r="I439" s="56">
        <f t="shared" si="33"/>
        <v>185397.76000000001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286607.56</v>
      </c>
      <c r="G441" s="18"/>
      <c r="H441" s="18"/>
      <c r="I441" s="56">
        <f t="shared" si="33"/>
        <v>286607.56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286607.56</v>
      </c>
      <c r="G445" s="13">
        <f>SUM(G438:G444)</f>
        <v>0</v>
      </c>
      <c r="H445" s="13">
        <f>SUM(H438:H444)</f>
        <v>185397.76000000001</v>
      </c>
      <c r="I445" s="13">
        <f>SUM(I438:I444)</f>
        <v>472005.32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>
        <v>185397.76000000001</v>
      </c>
      <c r="I456" s="56">
        <f t="shared" si="34"/>
        <v>185397.76000000001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286607.56</v>
      </c>
      <c r="G458" s="18"/>
      <c r="H458" s="18"/>
      <c r="I458" s="56">
        <f t="shared" si="34"/>
        <v>286607.56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286607.56</v>
      </c>
      <c r="G459" s="83">
        <f>SUM(G453:G458)</f>
        <v>0</v>
      </c>
      <c r="H459" s="83">
        <f>SUM(H453:H458)</f>
        <v>185397.76000000001</v>
      </c>
      <c r="I459" s="83">
        <f>SUM(I453:I458)</f>
        <v>472005.32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286607.56</v>
      </c>
      <c r="G460" s="42">
        <f>G451+G459</f>
        <v>0</v>
      </c>
      <c r="H460" s="42">
        <f>H451+H459</f>
        <v>185397.76000000001</v>
      </c>
      <c r="I460" s="42">
        <f>I451+I459</f>
        <v>472005.32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158697.72</v>
      </c>
      <c r="G464" s="18">
        <v>11280.28</v>
      </c>
      <c r="H464" s="18">
        <v>327.76</v>
      </c>
      <c r="I464" s="18"/>
      <c r="J464" s="18">
        <v>425869.25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9831836.8699999992</v>
      </c>
      <c r="G467" s="18">
        <v>280161.62</v>
      </c>
      <c r="H467" s="18">
        <v>1442154.79</v>
      </c>
      <c r="I467" s="18"/>
      <c r="J467" s="18">
        <v>57016.85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9831836.8699999992</v>
      </c>
      <c r="G469" s="53">
        <f>SUM(G467:G468)</f>
        <v>280161.62</v>
      </c>
      <c r="H469" s="53">
        <f>SUM(H467:H468)</f>
        <v>1442154.79</v>
      </c>
      <c r="I469" s="53">
        <f>SUM(I467:I468)</f>
        <v>0</v>
      </c>
      <c r="J469" s="53">
        <f>SUM(J467:J468)</f>
        <v>57016.85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9733148.3300000001</v>
      </c>
      <c r="G471" s="18">
        <v>282561.48</v>
      </c>
      <c r="H471" s="18">
        <v>1441564.01</v>
      </c>
      <c r="I471" s="18"/>
      <c r="J471" s="18">
        <v>10880.78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9733148.3300000001</v>
      </c>
      <c r="G473" s="53">
        <f>SUM(G471:G472)</f>
        <v>282561.48</v>
      </c>
      <c r="H473" s="53">
        <f>SUM(H471:H472)</f>
        <v>1441564.01</v>
      </c>
      <c r="I473" s="53">
        <f>SUM(I471:I472)</f>
        <v>0</v>
      </c>
      <c r="J473" s="53">
        <f>SUM(J471:J472)</f>
        <v>10880.78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257386.25999999978</v>
      </c>
      <c r="G475" s="53">
        <f>(G464+G469)- G473</f>
        <v>8880.4200000000419</v>
      </c>
      <c r="H475" s="53">
        <f>(H464+H469)- H473</f>
        <v>918.54000000003725</v>
      </c>
      <c r="I475" s="53">
        <f>(I464+I469)- I473</f>
        <v>0</v>
      </c>
      <c r="J475" s="53">
        <f>(J464+J469)- J473</f>
        <v>472005.31999999995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5300000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5.58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2385000</v>
      </c>
      <c r="G494" s="18"/>
      <c r="H494" s="18"/>
      <c r="I494" s="18"/>
      <c r="J494" s="18"/>
      <c r="K494" s="53">
        <f>SUM(F494:J494)</f>
        <v>2385000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265000</v>
      </c>
      <c r="G496" s="18"/>
      <c r="H496" s="18"/>
      <c r="I496" s="18"/>
      <c r="J496" s="18"/>
      <c r="K496" s="53">
        <f t="shared" si="35"/>
        <v>265000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2120000</v>
      </c>
      <c r="G497" s="205"/>
      <c r="H497" s="205"/>
      <c r="I497" s="205"/>
      <c r="J497" s="205"/>
      <c r="K497" s="206">
        <f t="shared" si="35"/>
        <v>2120000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540401.30000000005</v>
      </c>
      <c r="G498" s="18"/>
      <c r="H498" s="18"/>
      <c r="I498" s="18"/>
      <c r="J498" s="18"/>
      <c r="K498" s="53">
        <f t="shared" si="35"/>
        <v>540401.30000000005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2660401.2999999998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2660401.2999999998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265000</v>
      </c>
      <c r="G500" s="205"/>
      <c r="H500" s="205"/>
      <c r="I500" s="205"/>
      <c r="J500" s="205"/>
      <c r="K500" s="206">
        <f t="shared" si="35"/>
        <v>265000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119183.76</v>
      </c>
      <c r="G501" s="18"/>
      <c r="H501" s="18"/>
      <c r="I501" s="18"/>
      <c r="J501" s="18"/>
      <c r="K501" s="53">
        <f t="shared" si="35"/>
        <v>119183.76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384183.76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384183.76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653851.17000000004</v>
      </c>
      <c r="G520" s="18">
        <v>230376.24</v>
      </c>
      <c r="H520" s="18">
        <v>76339.149999999994</v>
      </c>
      <c r="I520" s="18">
        <v>11196.38</v>
      </c>
      <c r="J520" s="18">
        <v>1696.35</v>
      </c>
      <c r="K520" s="18">
        <v>963.83</v>
      </c>
      <c r="L520" s="88">
        <f>SUM(F520:K520)</f>
        <v>974423.12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171413.99</v>
      </c>
      <c r="G521" s="18">
        <v>66440.009999999995</v>
      </c>
      <c r="H521" s="18">
        <v>51125.86</v>
      </c>
      <c r="I521" s="18">
        <v>977.64</v>
      </c>
      <c r="J521" s="18">
        <v>2544.52</v>
      </c>
      <c r="K521" s="18">
        <v>395.83</v>
      </c>
      <c r="L521" s="88">
        <f>SUM(F521:K521)</f>
        <v>292897.85000000003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263050.57</v>
      </c>
      <c r="G522" s="18">
        <v>112504.47</v>
      </c>
      <c r="H522" s="18">
        <v>696113.08</v>
      </c>
      <c r="I522" s="18">
        <v>2378.7600000000002</v>
      </c>
      <c r="J522" s="18">
        <v>12722.66</v>
      </c>
      <c r="K522" s="18">
        <v>678.44</v>
      </c>
      <c r="L522" s="88">
        <f>SUM(F522:K522)</f>
        <v>1087447.98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1088315.73</v>
      </c>
      <c r="G523" s="108">
        <f t="shared" ref="G523:L523" si="36">SUM(G520:G522)</f>
        <v>409320.72</v>
      </c>
      <c r="H523" s="108">
        <f t="shared" si="36"/>
        <v>823578.09</v>
      </c>
      <c r="I523" s="108">
        <f t="shared" si="36"/>
        <v>14552.779999999999</v>
      </c>
      <c r="J523" s="108">
        <f t="shared" si="36"/>
        <v>16963.53</v>
      </c>
      <c r="K523" s="108">
        <f t="shared" si="36"/>
        <v>2038.1000000000001</v>
      </c>
      <c r="L523" s="89">
        <f t="shared" si="36"/>
        <v>2354768.9500000002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171005.7</v>
      </c>
      <c r="G525" s="18">
        <v>57982.44</v>
      </c>
      <c r="H525" s="18">
        <v>77275.78</v>
      </c>
      <c r="I525" s="18">
        <v>1644.96</v>
      </c>
      <c r="J525" s="18">
        <v>131.94999999999999</v>
      </c>
      <c r="K525" s="18"/>
      <c r="L525" s="88">
        <f>SUM(F525:K525)</f>
        <v>308040.83000000007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16960.32</v>
      </c>
      <c r="G526" s="18">
        <v>5255.05</v>
      </c>
      <c r="H526" s="18">
        <v>32090.14</v>
      </c>
      <c r="I526" s="18">
        <v>276.91000000000003</v>
      </c>
      <c r="J526" s="18"/>
      <c r="K526" s="18"/>
      <c r="L526" s="88">
        <f>SUM(F526:K526)</f>
        <v>54582.42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26500.35</v>
      </c>
      <c r="G527" s="18">
        <v>13424.34</v>
      </c>
      <c r="H527" s="18">
        <v>10988.31</v>
      </c>
      <c r="I527" s="18">
        <v>412.92</v>
      </c>
      <c r="J527" s="18"/>
      <c r="K527" s="18"/>
      <c r="L527" s="88">
        <f>SUM(F527:K527)</f>
        <v>51325.919999999998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214466.37000000002</v>
      </c>
      <c r="G528" s="89">
        <f t="shared" ref="G528:L528" si="37">SUM(G525:G527)</f>
        <v>76661.83</v>
      </c>
      <c r="H528" s="89">
        <f t="shared" si="37"/>
        <v>120354.23</v>
      </c>
      <c r="I528" s="89">
        <f t="shared" si="37"/>
        <v>2334.79</v>
      </c>
      <c r="J528" s="89">
        <f t="shared" si="37"/>
        <v>131.94999999999999</v>
      </c>
      <c r="K528" s="89">
        <f t="shared" si="37"/>
        <v>0</v>
      </c>
      <c r="L528" s="89">
        <f t="shared" si="37"/>
        <v>413949.17000000004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71662.710000000006</v>
      </c>
      <c r="G530" s="18">
        <v>14712.58</v>
      </c>
      <c r="H530" s="18"/>
      <c r="I530" s="18"/>
      <c r="J530" s="18"/>
      <c r="K530" s="18"/>
      <c r="L530" s="88">
        <f>SUM(F530:K530)</f>
        <v>86375.290000000008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25112.05</v>
      </c>
      <c r="G531" s="18">
        <v>6348.14</v>
      </c>
      <c r="H531" s="18"/>
      <c r="I531" s="18"/>
      <c r="J531" s="18"/>
      <c r="K531" s="18"/>
      <c r="L531" s="88">
        <f>SUM(F531:K531)</f>
        <v>31460.19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46636.639999999999</v>
      </c>
      <c r="G532" s="18">
        <v>11789.41</v>
      </c>
      <c r="H532" s="18"/>
      <c r="I532" s="18"/>
      <c r="J532" s="18"/>
      <c r="K532" s="18"/>
      <c r="L532" s="88">
        <f>SUM(F532:K532)</f>
        <v>58426.05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143411.40000000002</v>
      </c>
      <c r="G533" s="89">
        <f t="shared" ref="G533:L533" si="38">SUM(G530:G532)</f>
        <v>32850.130000000005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176261.53000000003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52840</v>
      </c>
      <c r="I540" s="18"/>
      <c r="J540" s="18"/>
      <c r="K540" s="18"/>
      <c r="L540" s="88">
        <f>SUM(F540:K540)</f>
        <v>52840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8465</v>
      </c>
      <c r="I541" s="18"/>
      <c r="J541" s="18"/>
      <c r="K541" s="18"/>
      <c r="L541" s="88">
        <f>SUM(F541:K541)</f>
        <v>8465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250498.46</v>
      </c>
      <c r="I542" s="18"/>
      <c r="J542" s="18"/>
      <c r="K542" s="18"/>
      <c r="L542" s="88">
        <f>SUM(F542:K542)</f>
        <v>250498.46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311803.45999999996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311803.45999999996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1446193.5</v>
      </c>
      <c r="G544" s="89">
        <f t="shared" ref="G544:L544" si="41">G523+G528+G533+G538+G543</f>
        <v>518832.68</v>
      </c>
      <c r="H544" s="89">
        <f t="shared" si="41"/>
        <v>1255735.7799999998</v>
      </c>
      <c r="I544" s="89">
        <f t="shared" si="41"/>
        <v>16887.57</v>
      </c>
      <c r="J544" s="89">
        <f t="shared" si="41"/>
        <v>17095.48</v>
      </c>
      <c r="K544" s="89">
        <f t="shared" si="41"/>
        <v>2038.1000000000001</v>
      </c>
      <c r="L544" s="89">
        <f t="shared" si="41"/>
        <v>3256783.1100000003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974423.12</v>
      </c>
      <c r="G548" s="87">
        <f>L525</f>
        <v>308040.83000000007</v>
      </c>
      <c r="H548" s="87">
        <f>L530</f>
        <v>86375.290000000008</v>
      </c>
      <c r="I548" s="87">
        <f>L535</f>
        <v>0</v>
      </c>
      <c r="J548" s="87">
        <f>L540</f>
        <v>52840</v>
      </c>
      <c r="K548" s="87">
        <f>SUM(F548:J548)</f>
        <v>1421679.2400000002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292897.85000000003</v>
      </c>
      <c r="G549" s="87">
        <f>L526</f>
        <v>54582.42</v>
      </c>
      <c r="H549" s="87">
        <f>L531</f>
        <v>31460.19</v>
      </c>
      <c r="I549" s="87">
        <f>L536</f>
        <v>0</v>
      </c>
      <c r="J549" s="87">
        <f>L541</f>
        <v>8465</v>
      </c>
      <c r="K549" s="87">
        <f>SUM(F549:J549)</f>
        <v>387405.46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1087447.98</v>
      </c>
      <c r="G550" s="87">
        <f>L527</f>
        <v>51325.919999999998</v>
      </c>
      <c r="H550" s="87">
        <f>L532</f>
        <v>58426.05</v>
      </c>
      <c r="I550" s="87">
        <f>L537</f>
        <v>0</v>
      </c>
      <c r="J550" s="87">
        <f>L542</f>
        <v>250498.46</v>
      </c>
      <c r="K550" s="87">
        <f>SUM(F550:J550)</f>
        <v>1447698.41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2354768.9500000002</v>
      </c>
      <c r="G551" s="89">
        <f t="shared" si="42"/>
        <v>413949.17000000004</v>
      </c>
      <c r="H551" s="89">
        <f t="shared" si="42"/>
        <v>176261.53000000003</v>
      </c>
      <c r="I551" s="89">
        <f t="shared" si="42"/>
        <v>0</v>
      </c>
      <c r="J551" s="89">
        <f t="shared" si="42"/>
        <v>311803.45999999996</v>
      </c>
      <c r="K551" s="89">
        <f t="shared" si="42"/>
        <v>3256783.1100000003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18570.8</v>
      </c>
      <c r="G561" s="18">
        <v>1603.4</v>
      </c>
      <c r="H561" s="18"/>
      <c r="I561" s="18"/>
      <c r="J561" s="18"/>
      <c r="K561" s="18"/>
      <c r="L561" s="88">
        <f>SUM(F561:K561)</f>
        <v>20174.2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18570.8</v>
      </c>
      <c r="G564" s="89">
        <f t="shared" si="44"/>
        <v>1603.4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20174.2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18570.8</v>
      </c>
      <c r="G570" s="89">
        <f t="shared" ref="G570:L570" si="46">G559+G564+G569</f>
        <v>1603.4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20174.2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45683</v>
      </c>
      <c r="H581" s="18">
        <v>689832.84</v>
      </c>
      <c r="I581" s="87">
        <f t="shared" si="47"/>
        <v>735515.84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18080.02</v>
      </c>
      <c r="I583" s="87">
        <f t="shared" si="47"/>
        <v>18080.02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104467.41</v>
      </c>
      <c r="I590" s="18">
        <v>31220.54</v>
      </c>
      <c r="J590" s="18">
        <v>64462.8</v>
      </c>
      <c r="K590" s="104">
        <f t="shared" ref="K590:K596" si="48">SUM(H590:J590)</f>
        <v>200150.75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52840</v>
      </c>
      <c r="I591" s="18">
        <v>8465</v>
      </c>
      <c r="J591" s="18">
        <v>250498.46</v>
      </c>
      <c r="K591" s="104">
        <f t="shared" si="48"/>
        <v>311803.45999999996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13860</v>
      </c>
      <c r="K592" s="104">
        <f t="shared" si="48"/>
        <v>13860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5335.69</v>
      </c>
      <c r="J593" s="18">
        <v>10951.91</v>
      </c>
      <c r="K593" s="104">
        <f t="shared" si="48"/>
        <v>16287.599999999999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277.2</v>
      </c>
      <c r="K594" s="104">
        <f t="shared" si="48"/>
        <v>277.2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157307.41</v>
      </c>
      <c r="I597" s="108">
        <f>SUM(I590:I596)</f>
        <v>45021.23</v>
      </c>
      <c r="J597" s="108">
        <f>SUM(J590:J596)</f>
        <v>340050.37</v>
      </c>
      <c r="K597" s="108">
        <f>SUM(K590:K596)</f>
        <v>542379.00999999989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75186.13</v>
      </c>
      <c r="I603" s="18">
        <v>40684.83</v>
      </c>
      <c r="J603" s="18">
        <v>77097.67</v>
      </c>
      <c r="K603" s="104">
        <f>SUM(H603:J603)</f>
        <v>192968.63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75186.13</v>
      </c>
      <c r="I604" s="108">
        <f>SUM(I601:I603)</f>
        <v>40684.83</v>
      </c>
      <c r="J604" s="108">
        <f>SUM(J601:J603)</f>
        <v>77097.67</v>
      </c>
      <c r="K604" s="108">
        <f>SUM(K601:K603)</f>
        <v>192968.63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1309153.4099999999</v>
      </c>
      <c r="H616" s="109">
        <f>SUM(F51)</f>
        <v>1309153.4099999999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48126.58</v>
      </c>
      <c r="H617" s="109">
        <f>SUM(G51)</f>
        <v>48126.579999999994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315315.67</v>
      </c>
      <c r="H618" s="109">
        <f>SUM(H51)</f>
        <v>315315.67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472005.32</v>
      </c>
      <c r="H620" s="109">
        <f>SUM(J51)</f>
        <v>472005.32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257386.26</v>
      </c>
      <c r="H621" s="109">
        <f>F475</f>
        <v>257386.25999999978</v>
      </c>
      <c r="I621" s="121" t="s">
        <v>101</v>
      </c>
      <c r="J621" s="109">
        <f t="shared" ref="J621:J654" si="50">G621-H621</f>
        <v>2.3283064365386963E-10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8880.42</v>
      </c>
      <c r="H622" s="109">
        <f>G475</f>
        <v>8880.4200000000419</v>
      </c>
      <c r="I622" s="121" t="s">
        <v>102</v>
      </c>
      <c r="J622" s="109">
        <f t="shared" si="50"/>
        <v>-4.1836756281554699E-11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918.54</v>
      </c>
      <c r="H623" s="109">
        <f>H475</f>
        <v>918.54000000003725</v>
      </c>
      <c r="I623" s="121" t="s">
        <v>103</v>
      </c>
      <c r="J623" s="109">
        <f t="shared" si="50"/>
        <v>-3.7289282772690058E-11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472005.32</v>
      </c>
      <c r="H625" s="109">
        <f>J475</f>
        <v>472005.31999999995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9831836.8699999992</v>
      </c>
      <c r="H626" s="104">
        <f>SUM(F467)</f>
        <v>9831836.8699999992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280161.62</v>
      </c>
      <c r="H627" s="104">
        <f>SUM(G467)</f>
        <v>280161.62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1442154.79</v>
      </c>
      <c r="H628" s="104">
        <f>SUM(H467)</f>
        <v>1442154.79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57016.85</v>
      </c>
      <c r="H630" s="104">
        <f>SUM(J467)</f>
        <v>57016.85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9733148.3300000001</v>
      </c>
      <c r="H631" s="104">
        <f>SUM(F471)</f>
        <v>9733148.3300000001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1441564.0099999998</v>
      </c>
      <c r="H632" s="104">
        <f>SUM(H471)</f>
        <v>1441564.01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13048.41</v>
      </c>
      <c r="H633" s="104">
        <f>I368</f>
        <v>13048.41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282561.48</v>
      </c>
      <c r="H634" s="104">
        <f>SUM(G471)</f>
        <v>282561.48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57016.850000000006</v>
      </c>
      <c r="H636" s="164">
        <f>SUM(J467)</f>
        <v>57016.85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10880.779999999999</v>
      </c>
      <c r="H637" s="164">
        <f>SUM(J471)</f>
        <v>10880.78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286607.56</v>
      </c>
      <c r="H638" s="104">
        <f>SUM(F460)</f>
        <v>286607.56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185397.76000000001</v>
      </c>
      <c r="H640" s="104">
        <f>SUM(H460)</f>
        <v>185397.76000000001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472005.32</v>
      </c>
      <c r="H641" s="104">
        <f>SUM(I460)</f>
        <v>472005.32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5638.81</v>
      </c>
      <c r="H643" s="104">
        <f>H407</f>
        <v>5638.8099999999995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57016.85</v>
      </c>
      <c r="H645" s="104">
        <f>L407</f>
        <v>57016.850000000006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542379.00999999989</v>
      </c>
      <c r="H646" s="104">
        <f>L207+L225+L243</f>
        <v>542379.01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192968.63</v>
      </c>
      <c r="H647" s="104">
        <f>(J256+J337)-(J254+J335)</f>
        <v>192968.62999999998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157307.41</v>
      </c>
      <c r="H648" s="104">
        <f>H597</f>
        <v>157307.41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45021.23</v>
      </c>
      <c r="H649" s="104">
        <f>I597</f>
        <v>45021.23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340050.37</v>
      </c>
      <c r="H650" s="104">
        <f>J597</f>
        <v>340050.37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4828455.6999999993</v>
      </c>
      <c r="G659" s="19">
        <f>(L228+L308+L358)</f>
        <v>1706123.87</v>
      </c>
      <c r="H659" s="19">
        <f>(L246+L327+L359)</f>
        <v>4459099.05</v>
      </c>
      <c r="I659" s="19">
        <f>SUM(F659:H659)</f>
        <v>10993678.619999999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47543.63538756239</v>
      </c>
      <c r="G660" s="19">
        <f>(L358/IF(SUM(L357:L359)=0,1,SUM(L357:L359))*(SUM(G96:G109)))</f>
        <v>18851.122973343714</v>
      </c>
      <c r="H660" s="19">
        <f>(L359/IF(SUM(L357:L359)=0,1,SUM(L357:L359))*(SUM(G96:G109)))</f>
        <v>38831.741639093911</v>
      </c>
      <c r="I660" s="19">
        <f>SUM(F660:H660)</f>
        <v>105226.5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157307.41</v>
      </c>
      <c r="G661" s="19">
        <f>(L225+L305)-(J225+J305)</f>
        <v>48472.04</v>
      </c>
      <c r="H661" s="19">
        <f>(L243+L324)-(J243+J324)</f>
        <v>347393.7</v>
      </c>
      <c r="I661" s="19">
        <f>SUM(F661:H661)</f>
        <v>553173.15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75186.13</v>
      </c>
      <c r="G662" s="200">
        <f>SUM(G574:G586)+SUM(I601:I603)+L611</f>
        <v>86367.83</v>
      </c>
      <c r="H662" s="200">
        <f>SUM(H574:H586)+SUM(J601:J603)+L612</f>
        <v>785010.53</v>
      </c>
      <c r="I662" s="19">
        <f>SUM(F662:H662)</f>
        <v>946564.49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4548418.524612437</v>
      </c>
      <c r="G663" s="19">
        <f>G659-SUM(G660:G662)</f>
        <v>1552432.8770266564</v>
      </c>
      <c r="H663" s="19">
        <f>H659-SUM(H660:H662)</f>
        <v>3287863.0783609059</v>
      </c>
      <c r="I663" s="19">
        <f>I659-SUM(I660:I662)</f>
        <v>9388714.4799999986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299.85000000000002</v>
      </c>
      <c r="G664" s="249">
        <v>78.37</v>
      </c>
      <c r="H664" s="249">
        <v>158.79</v>
      </c>
      <c r="I664" s="19">
        <f>SUM(F664:H664)</f>
        <v>537.01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15168.98</v>
      </c>
      <c r="G666" s="19">
        <f>ROUND(G663/G664,2)</f>
        <v>19809.02</v>
      </c>
      <c r="H666" s="19">
        <f>ROUND(H663/H664,2)</f>
        <v>20705.73</v>
      </c>
      <c r="I666" s="19">
        <f>ROUND(I663/I664,2)</f>
        <v>17483.310000000001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-4.33</v>
      </c>
      <c r="I669" s="19">
        <f>SUM(F669:H669)</f>
        <v>-4.33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15168.98</v>
      </c>
      <c r="G671" s="19">
        <f>ROUND((G663+G668)/(G664+G669),2)</f>
        <v>19809.02</v>
      </c>
      <c r="H671" s="19">
        <f>ROUND((H663+H668)/(H664+H669),2)</f>
        <v>21286.18</v>
      </c>
      <c r="I671" s="19">
        <f>ROUND((I663+I668)/(I664+I669),2)</f>
        <v>17625.43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Pittsfield SD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1985633.0799999998</v>
      </c>
      <c r="C9" s="230">
        <f>'DOE25'!G196+'DOE25'!G214+'DOE25'!G232+'DOE25'!G275+'DOE25'!G294+'DOE25'!G313</f>
        <v>967245.05</v>
      </c>
    </row>
    <row r="10" spans="1:3">
      <c r="A10" t="s">
        <v>779</v>
      </c>
      <c r="B10" s="241">
        <v>1793240</v>
      </c>
      <c r="C10" s="241">
        <v>925089.29</v>
      </c>
    </row>
    <row r="11" spans="1:3">
      <c r="A11" t="s">
        <v>780</v>
      </c>
      <c r="B11" s="241">
        <v>123153.08</v>
      </c>
      <c r="C11" s="241">
        <v>36228.82</v>
      </c>
    </row>
    <row r="12" spans="1:3">
      <c r="A12" t="s">
        <v>781</v>
      </c>
      <c r="B12" s="241">
        <v>69240</v>
      </c>
      <c r="C12" s="241">
        <v>5926.94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1985633.08</v>
      </c>
      <c r="C13" s="232">
        <f>SUM(C10:C12)</f>
        <v>967245.04999999993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1106886.53</v>
      </c>
      <c r="C18" s="230">
        <f>'DOE25'!G197+'DOE25'!G215+'DOE25'!G233+'DOE25'!G276+'DOE25'!G295+'DOE25'!G314</f>
        <v>420199.12</v>
      </c>
    </row>
    <row r="19" spans="1:3">
      <c r="A19" t="s">
        <v>779</v>
      </c>
      <c r="B19" s="241">
        <v>452110.79</v>
      </c>
      <c r="C19" s="241">
        <v>270125.56</v>
      </c>
    </row>
    <row r="20" spans="1:3">
      <c r="A20" t="s">
        <v>780</v>
      </c>
      <c r="B20" s="241">
        <v>633174.23</v>
      </c>
      <c r="C20" s="241">
        <v>148323.35999999999</v>
      </c>
    </row>
    <row r="21" spans="1:3">
      <c r="A21" t="s">
        <v>781</v>
      </c>
      <c r="B21" s="241">
        <v>21601.51</v>
      </c>
      <c r="C21" s="241">
        <v>1750.2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1106886.53</v>
      </c>
      <c r="C22" s="232">
        <f>SUM(C19:C21)</f>
        <v>420199.12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53635.11</v>
      </c>
      <c r="C36" s="236">
        <f>'DOE25'!G199+'DOE25'!G217+'DOE25'!G235+'DOE25'!G278+'DOE25'!G297+'DOE25'!G316</f>
        <v>7526.8499999999995</v>
      </c>
    </row>
    <row r="37" spans="1:3">
      <c r="A37" t="s">
        <v>779</v>
      </c>
      <c r="B37" s="241">
        <v>14636</v>
      </c>
      <c r="C37" s="241">
        <v>3165.62</v>
      </c>
    </row>
    <row r="38" spans="1:3">
      <c r="A38" t="s">
        <v>780</v>
      </c>
      <c r="B38" s="241">
        <v>4199.24</v>
      </c>
      <c r="C38" s="241">
        <v>788.79</v>
      </c>
    </row>
    <row r="39" spans="1:3">
      <c r="A39" t="s">
        <v>781</v>
      </c>
      <c r="B39" s="241">
        <v>34799.870000000003</v>
      </c>
      <c r="C39" s="241">
        <v>3572.44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53635.11</v>
      </c>
      <c r="C40" s="232">
        <f>SUM(C37:C39)</f>
        <v>7526.85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pane="bottomLeft" activeCell="F38" sqref="F38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Pittsfield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5179586.54</v>
      </c>
      <c r="D5" s="20">
        <f>SUM('DOE25'!L196:L199)+SUM('DOE25'!L214:L217)+SUM('DOE25'!L232:L235)-F5-G5</f>
        <v>5120119.58</v>
      </c>
      <c r="E5" s="244"/>
      <c r="F5" s="256">
        <f>SUM('DOE25'!J196:J199)+SUM('DOE25'!J214:J217)+SUM('DOE25'!J232:J235)</f>
        <v>41692.32</v>
      </c>
      <c r="G5" s="53">
        <f>SUM('DOE25'!K196:K199)+SUM('DOE25'!K214:K217)+SUM('DOE25'!K232:K235)</f>
        <v>17774.64</v>
      </c>
      <c r="H5" s="260"/>
    </row>
    <row r="6" spans="1:9">
      <c r="A6" s="32">
        <v>2100</v>
      </c>
      <c r="B6" t="s">
        <v>801</v>
      </c>
      <c r="C6" s="246">
        <f t="shared" si="0"/>
        <v>708673.44000000006</v>
      </c>
      <c r="D6" s="20">
        <f>'DOE25'!L201+'DOE25'!L219+'DOE25'!L237-F6-G6</f>
        <v>707131.50000000012</v>
      </c>
      <c r="E6" s="244"/>
      <c r="F6" s="256">
        <f>'DOE25'!J201+'DOE25'!J219+'DOE25'!J237</f>
        <v>1196.94</v>
      </c>
      <c r="G6" s="53">
        <f>'DOE25'!K201+'DOE25'!K219+'DOE25'!K237</f>
        <v>345</v>
      </c>
      <c r="H6" s="260"/>
    </row>
    <row r="7" spans="1:9">
      <c r="A7" s="32">
        <v>2200</v>
      </c>
      <c r="B7" t="s">
        <v>834</v>
      </c>
      <c r="C7" s="246">
        <f t="shared" si="0"/>
        <v>477953.12999999995</v>
      </c>
      <c r="D7" s="20">
        <f>'DOE25'!L202+'DOE25'!L220+'DOE25'!L238-F7-G7</f>
        <v>383829.88999999996</v>
      </c>
      <c r="E7" s="244"/>
      <c r="F7" s="256">
        <f>'DOE25'!J202+'DOE25'!J220+'DOE25'!J238</f>
        <v>88152.9</v>
      </c>
      <c r="G7" s="53">
        <f>'DOE25'!K202+'DOE25'!K220+'DOE25'!K238</f>
        <v>5970.34</v>
      </c>
      <c r="H7" s="260"/>
    </row>
    <row r="8" spans="1:9">
      <c r="A8" s="32">
        <v>2300</v>
      </c>
      <c r="B8" t="s">
        <v>802</v>
      </c>
      <c r="C8" s="246">
        <f t="shared" si="0"/>
        <v>106529.28</v>
      </c>
      <c r="D8" s="244"/>
      <c r="E8" s="20">
        <f>'DOE25'!L203+'DOE25'!L221+'DOE25'!L239-F8-G8-D9-D11</f>
        <v>87180.76999999999</v>
      </c>
      <c r="F8" s="256">
        <f>'DOE25'!J203+'DOE25'!J221+'DOE25'!J239</f>
        <v>12774.74</v>
      </c>
      <c r="G8" s="53">
        <f>'DOE25'!K203+'DOE25'!K221+'DOE25'!K239</f>
        <v>6573.77</v>
      </c>
      <c r="H8" s="260"/>
    </row>
    <row r="9" spans="1:9">
      <c r="A9" s="32">
        <v>2310</v>
      </c>
      <c r="B9" t="s">
        <v>818</v>
      </c>
      <c r="C9" s="246">
        <f t="shared" si="0"/>
        <v>33839.94</v>
      </c>
      <c r="D9" s="245">
        <v>33839.94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7500</v>
      </c>
      <c r="D10" s="244"/>
      <c r="E10" s="245">
        <v>7500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249641.4</v>
      </c>
      <c r="D11" s="245">
        <v>249641.4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831160.12999999989</v>
      </c>
      <c r="D12" s="20">
        <f>'DOE25'!L204+'DOE25'!L222+'DOE25'!L240-F12-G12</f>
        <v>826078.92999999993</v>
      </c>
      <c r="E12" s="244"/>
      <c r="F12" s="256">
        <f>'DOE25'!J204+'DOE25'!J222+'DOE25'!J240</f>
        <v>0</v>
      </c>
      <c r="G12" s="53">
        <f>'DOE25'!K204+'DOE25'!K222+'DOE25'!K240</f>
        <v>5081.2000000000007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1154626.7000000002</v>
      </c>
      <c r="D14" s="20">
        <f>'DOE25'!L206+'DOE25'!L224+'DOE25'!L242-F14-G14</f>
        <v>1126029.6800000002</v>
      </c>
      <c r="E14" s="244"/>
      <c r="F14" s="256">
        <f>'DOE25'!J206+'DOE25'!J224+'DOE25'!J242</f>
        <v>28391.27</v>
      </c>
      <c r="G14" s="53">
        <f>'DOE25'!K206+'DOE25'!K224+'DOE25'!K242</f>
        <v>205.75</v>
      </c>
      <c r="H14" s="260"/>
    </row>
    <row r="15" spans="1:9">
      <c r="A15" s="32">
        <v>2700</v>
      </c>
      <c r="B15" t="s">
        <v>804</v>
      </c>
      <c r="C15" s="246">
        <f t="shared" si="0"/>
        <v>542379.01</v>
      </c>
      <c r="D15" s="20">
        <f>'DOE25'!L207+'DOE25'!L225+'DOE25'!L243-F15-G15</f>
        <v>542379.01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398758.76</v>
      </c>
      <c r="D25" s="244"/>
      <c r="E25" s="244"/>
      <c r="F25" s="259"/>
      <c r="G25" s="257"/>
      <c r="H25" s="258">
        <f>'DOE25'!L259+'DOE25'!L260+'DOE25'!L340+'DOE25'!L341</f>
        <v>398758.76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282561.48</v>
      </c>
      <c r="D29" s="20">
        <f>'DOE25'!L357+'DOE25'!L358+'DOE25'!L359-'DOE25'!I366-F29-G29</f>
        <v>282561.48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1433527.5699999998</v>
      </c>
      <c r="D31" s="20">
        <f>'DOE25'!L289+'DOE25'!L308+'DOE25'!L327+'DOE25'!L332+'DOE25'!L333+'DOE25'!L334-F31-G31</f>
        <v>1407870.47</v>
      </c>
      <c r="E31" s="244"/>
      <c r="F31" s="256">
        <f>'DOE25'!J289+'DOE25'!J308+'DOE25'!J327+'DOE25'!J332+'DOE25'!J333+'DOE25'!J334</f>
        <v>20760.46</v>
      </c>
      <c r="G31" s="53">
        <f>'DOE25'!K289+'DOE25'!K308+'DOE25'!K327+'DOE25'!K332+'DOE25'!K333+'DOE25'!K334</f>
        <v>4896.6400000000003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10679481.880000001</v>
      </c>
      <c r="E33" s="247">
        <f>SUM(E5:E31)</f>
        <v>94680.76999999999</v>
      </c>
      <c r="F33" s="247">
        <f>SUM(F5:F31)</f>
        <v>192968.62999999998</v>
      </c>
      <c r="G33" s="247">
        <f>SUM(G5:G31)</f>
        <v>40847.339999999997</v>
      </c>
      <c r="H33" s="247">
        <f>SUM(H5:H31)</f>
        <v>398758.76</v>
      </c>
    </row>
    <row r="35" spans="2:8" ht="12" thickBot="1">
      <c r="B35" s="254" t="s">
        <v>847</v>
      </c>
      <c r="D35" s="255">
        <f>E33</f>
        <v>94680.76999999999</v>
      </c>
      <c r="E35" s="250"/>
    </row>
    <row r="36" spans="2:8" ht="12" thickTop="1">
      <c r="B36" t="s">
        <v>815</v>
      </c>
      <c r="D36" s="20">
        <f>D33</f>
        <v>10679481.880000001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Pittsfield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1205928.48</v>
      </c>
      <c r="D8" s="95">
        <f>'DOE25'!G9</f>
        <v>8696.43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185397.76000000001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86212.19</v>
      </c>
      <c r="D11" s="95">
        <f>'DOE25'!G12</f>
        <v>0</v>
      </c>
      <c r="E11" s="95">
        <f>'DOE25'!H12</f>
        <v>918.54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4045.66</v>
      </c>
      <c r="D12" s="95">
        <f>'DOE25'!G13</f>
        <v>29084</v>
      </c>
      <c r="E12" s="95">
        <f>'DOE25'!H13</f>
        <v>314397.13</v>
      </c>
      <c r="F12" s="95">
        <f>'DOE25'!I13</f>
        <v>0</v>
      </c>
      <c r="G12" s="95">
        <f>'DOE25'!J13</f>
        <v>286607.56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12967.08</v>
      </c>
      <c r="D13" s="95">
        <f>'DOE25'!G14</f>
        <v>2452.15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7894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1309153.4099999999</v>
      </c>
      <c r="D18" s="41">
        <f>SUM(D8:D17)</f>
        <v>48126.58</v>
      </c>
      <c r="E18" s="41">
        <f>SUM(E8:E17)</f>
        <v>315315.67</v>
      </c>
      <c r="F18" s="41">
        <f>SUM(F8:F17)</f>
        <v>0</v>
      </c>
      <c r="G18" s="41">
        <f>SUM(G8:G17)</f>
        <v>472005.32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39092.559999999998</v>
      </c>
      <c r="E21" s="95">
        <f>'DOE25'!H22</f>
        <v>55426.26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338317.8</v>
      </c>
      <c r="D23" s="95">
        <f>'DOE25'!G24</f>
        <v>153.6</v>
      </c>
      <c r="E23" s="95">
        <f>'DOE25'!H24</f>
        <v>115.6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713449.35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258855.27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1051767.1499999999</v>
      </c>
      <c r="D31" s="41">
        <f>SUM(D21:D30)</f>
        <v>39246.159999999996</v>
      </c>
      <c r="E31" s="41">
        <f>SUM(E21:E30)</f>
        <v>314397.13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7894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185397.76000000001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986.42</v>
      </c>
      <c r="E46" s="95">
        <f>'DOE25'!H47</f>
        <v>918.54</v>
      </c>
      <c r="F46" s="95">
        <f>'DOE25'!I47</f>
        <v>0</v>
      </c>
      <c r="G46" s="95">
        <f>'DOE25'!J47</f>
        <v>286607.56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157386.26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257386.26</v>
      </c>
      <c r="D49" s="41">
        <f>SUM(D34:D48)</f>
        <v>8880.42</v>
      </c>
      <c r="E49" s="41">
        <f>SUM(E34:E48)</f>
        <v>918.54</v>
      </c>
      <c r="F49" s="41">
        <f>SUM(F34:F48)</f>
        <v>0</v>
      </c>
      <c r="G49" s="41">
        <f>SUM(G34:G48)</f>
        <v>472005.32</v>
      </c>
      <c r="H49" s="124"/>
      <c r="I49" s="124"/>
    </row>
    <row r="50" spans="1:9" ht="12" thickTop="1">
      <c r="A50" s="38" t="s">
        <v>895</v>
      </c>
      <c r="B50" s="2"/>
      <c r="C50" s="41">
        <f>C49+C31</f>
        <v>1309153.4099999999</v>
      </c>
      <c r="D50" s="41">
        <f>D49+D31</f>
        <v>48126.579999999994</v>
      </c>
      <c r="E50" s="41">
        <f>E49+E31</f>
        <v>315315.67</v>
      </c>
      <c r="F50" s="41">
        <f>F49+F31</f>
        <v>0</v>
      </c>
      <c r="G50" s="41">
        <f>G49+G31</f>
        <v>472005.32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4392786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22985.5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445.61</v>
      </c>
      <c r="D58" s="95">
        <f>'DOE25'!G95</f>
        <v>33.89</v>
      </c>
      <c r="E58" s="95">
        <f>'DOE25'!H95</f>
        <v>0</v>
      </c>
      <c r="F58" s="95">
        <f>'DOE25'!I95</f>
        <v>0</v>
      </c>
      <c r="G58" s="95">
        <f>'DOE25'!J95</f>
        <v>5638.81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105226.5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200</v>
      </c>
      <c r="D60" s="95">
        <f>SUM('DOE25'!G97:G109)</f>
        <v>0</v>
      </c>
      <c r="E60" s="95">
        <f>SUM('DOE25'!H97:H109)</f>
        <v>253570.54</v>
      </c>
      <c r="F60" s="95">
        <f>SUM('DOE25'!I97:I109)</f>
        <v>0</v>
      </c>
      <c r="G60" s="95">
        <f>SUM('DOE25'!J97:J109)</f>
        <v>1378.04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23631.11</v>
      </c>
      <c r="D61" s="130">
        <f>SUM(D56:D60)</f>
        <v>105260.39</v>
      </c>
      <c r="E61" s="130">
        <f>SUM(E56:E60)</f>
        <v>253570.54</v>
      </c>
      <c r="F61" s="130">
        <f>SUM(F56:F60)</f>
        <v>0</v>
      </c>
      <c r="G61" s="130">
        <f>SUM(G56:G60)</f>
        <v>7016.85</v>
      </c>
      <c r="H61"/>
      <c r="I61"/>
    </row>
    <row r="62" spans="1:9" ht="12" thickTop="1">
      <c r="A62" s="29" t="s">
        <v>175</v>
      </c>
      <c r="B62" s="6"/>
      <c r="C62" s="22">
        <f>C55+C61</f>
        <v>4416417.1100000003</v>
      </c>
      <c r="D62" s="22">
        <f>D55+D61</f>
        <v>105260.39</v>
      </c>
      <c r="E62" s="22">
        <f>E55+E61</f>
        <v>253570.54</v>
      </c>
      <c r="F62" s="22">
        <f>F55+F61</f>
        <v>0</v>
      </c>
      <c r="G62" s="22">
        <f>G55+G61</f>
        <v>7016.85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4198415.3499999996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616174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3637.65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7800.47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4826027.47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97763.27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260271.85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1922.63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2849.91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359957.75</v>
      </c>
      <c r="D77" s="130">
        <f>SUM(D71:D76)</f>
        <v>2849.91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5185985.22</v>
      </c>
      <c r="D80" s="130">
        <f>SUM(D78:D79)+D77+D69</f>
        <v>2849.91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103941.27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221398.1</v>
      </c>
      <c r="D87" s="95">
        <f>SUM('DOE25'!G152:G160)</f>
        <v>172051.32</v>
      </c>
      <c r="E87" s="95">
        <f>SUM('DOE25'!H152:H160)</f>
        <v>1050679.5900000001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33963.39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221398.1</v>
      </c>
      <c r="D90" s="131">
        <f>SUM(D84:D89)</f>
        <v>172051.32</v>
      </c>
      <c r="E90" s="131">
        <f>SUM(E84:E89)</f>
        <v>1188584.25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>
      <c r="A96" t="s">
        <v>758</v>
      </c>
      <c r="B96" s="32" t="s">
        <v>188</v>
      </c>
      <c r="C96" s="95">
        <f>SUM('DOE25'!F179:F180)</f>
        <v>8036.44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8036.44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>
      <c r="A103" s="33" t="s">
        <v>765</v>
      </c>
      <c r="C103" s="86">
        <f>C62+C80+C90+C102</f>
        <v>9831836.8699999992</v>
      </c>
      <c r="D103" s="86">
        <f>D62+D80+D90+D102</f>
        <v>280161.62</v>
      </c>
      <c r="E103" s="86">
        <f>E62+E80+E90+E102</f>
        <v>1442154.79</v>
      </c>
      <c r="F103" s="86">
        <f>F62+F80+F90+F102</f>
        <v>0</v>
      </c>
      <c r="G103" s="86">
        <f>G62+G80+G102</f>
        <v>57016.85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2795807.87</v>
      </c>
      <c r="D108" s="24" t="s">
        <v>289</v>
      </c>
      <c r="E108" s="95">
        <f>('DOE25'!L275)+('DOE25'!L294)+('DOE25'!L313)</f>
        <v>408658.63999999996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2278357.4299999997</v>
      </c>
      <c r="D109" s="24" t="s">
        <v>289</v>
      </c>
      <c r="E109" s="95">
        <f>('DOE25'!L276)+('DOE25'!L295)+('DOE25'!L314)</f>
        <v>106757.72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18080.02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87341.22</v>
      </c>
      <c r="D111" s="24" t="s">
        <v>289</v>
      </c>
      <c r="E111" s="95">
        <f>+('DOE25'!L278)+('DOE25'!L297)+('DOE25'!L316)</f>
        <v>16985.39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6800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5179586.5399999991</v>
      </c>
      <c r="D114" s="86">
        <f>SUM(D108:D113)</f>
        <v>0</v>
      </c>
      <c r="E114" s="86">
        <f>SUM(E108:E113)</f>
        <v>539201.75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708673.44000000006</v>
      </c>
      <c r="D117" s="24" t="s">
        <v>289</v>
      </c>
      <c r="E117" s="95">
        <f>+('DOE25'!L280)+('DOE25'!L299)+('DOE25'!L318)</f>
        <v>119194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477953.13</v>
      </c>
      <c r="D118" s="24" t="s">
        <v>289</v>
      </c>
      <c r="E118" s="95">
        <f>+('DOE25'!L281)+('DOE25'!L300)+('DOE25'!L319)</f>
        <v>698813.09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390010.62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831160.12999999989</v>
      </c>
      <c r="D120" s="24" t="s">
        <v>289</v>
      </c>
      <c r="E120" s="95">
        <f>+('DOE25'!L283)+('DOE25'!L302)+('DOE25'!L321)</f>
        <v>60721.56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1154626.7000000002</v>
      </c>
      <c r="D122" s="24" t="s">
        <v>289</v>
      </c>
      <c r="E122" s="95">
        <f>+('DOE25'!L285)+('DOE25'!L304)+('DOE25'!L323)</f>
        <v>4803.03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542379.01</v>
      </c>
      <c r="D123" s="24" t="s">
        <v>289</v>
      </c>
      <c r="E123" s="95">
        <f>+('DOE25'!L286)+('DOE25'!L305)+('DOE25'!L324)</f>
        <v>10794.14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282561.48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4104803.0300000003</v>
      </c>
      <c r="D127" s="86">
        <f>SUM(D117:D126)</f>
        <v>282561.48</v>
      </c>
      <c r="E127" s="86">
        <f>SUM(E117:E126)</f>
        <v>894325.82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265000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133758.76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8036.44</v>
      </c>
      <c r="F133" s="95">
        <f>'DOE25'!K380</f>
        <v>0</v>
      </c>
      <c r="G133" s="95">
        <f>'DOE25'!K433</f>
        <v>7390.78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142.62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50069.36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6804.87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-7016.8500000000058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448758.76</v>
      </c>
      <c r="D143" s="141">
        <f>SUM(D129:D142)</f>
        <v>0</v>
      </c>
      <c r="E143" s="141">
        <f>SUM(E129:E142)</f>
        <v>8036.44</v>
      </c>
      <c r="F143" s="141">
        <f>SUM(F129:F142)</f>
        <v>0</v>
      </c>
      <c r="G143" s="141">
        <f>SUM(G129:G142)</f>
        <v>7390.78</v>
      </c>
    </row>
    <row r="144" spans="1:7" ht="12.75" thickTop="1" thickBot="1">
      <c r="A144" s="33" t="s">
        <v>244</v>
      </c>
      <c r="C144" s="86">
        <f>(C114+C127+C143)</f>
        <v>9733148.3300000001</v>
      </c>
      <c r="D144" s="86">
        <f>(D114+D127+D143)</f>
        <v>282561.48</v>
      </c>
      <c r="E144" s="86">
        <f>(E114+E127+E143)</f>
        <v>1441564.0099999998</v>
      </c>
      <c r="F144" s="86">
        <f>(F114+F127+F143)</f>
        <v>0</v>
      </c>
      <c r="G144" s="86">
        <f>(G114+G127+G143)</f>
        <v>7390.78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5300000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5.58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2385000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2385000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265000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265000</v>
      </c>
    </row>
    <row r="158" spans="1:9">
      <c r="A158" s="22" t="s">
        <v>35</v>
      </c>
      <c r="B158" s="137">
        <f>'DOE25'!F497</f>
        <v>2120000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2120000</v>
      </c>
    </row>
    <row r="159" spans="1:9">
      <c r="A159" s="22" t="s">
        <v>36</v>
      </c>
      <c r="B159" s="137">
        <f>'DOE25'!F498</f>
        <v>540401.30000000005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540401.30000000005</v>
      </c>
    </row>
    <row r="160" spans="1:9">
      <c r="A160" s="22" t="s">
        <v>37</v>
      </c>
      <c r="B160" s="137">
        <f>'DOE25'!F499</f>
        <v>2660401.2999999998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2660401.2999999998</v>
      </c>
    </row>
    <row r="161" spans="1:7">
      <c r="A161" s="22" t="s">
        <v>38</v>
      </c>
      <c r="B161" s="137">
        <f>'DOE25'!F500</f>
        <v>265000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265000</v>
      </c>
    </row>
    <row r="162" spans="1:7">
      <c r="A162" s="22" t="s">
        <v>39</v>
      </c>
      <c r="B162" s="137">
        <f>'DOE25'!F501</f>
        <v>119183.76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119183.76</v>
      </c>
    </row>
    <row r="163" spans="1:7">
      <c r="A163" s="22" t="s">
        <v>246</v>
      </c>
      <c r="B163" s="137">
        <f>'DOE25'!F502</f>
        <v>384183.76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384183.76</v>
      </c>
    </row>
  </sheetData>
  <sheetProtection password="BF0A" sheet="1" objects="1" scenarios="1"/>
  <dataConsolidate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9"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Pittsfield SD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15169</v>
      </c>
    </row>
    <row r="5" spans="1:4">
      <c r="B5" t="s">
        <v>704</v>
      </c>
      <c r="C5" s="179">
        <f>IF('DOE25'!G664+'DOE25'!G669=0,0,ROUND('DOE25'!G671,0))</f>
        <v>19809</v>
      </c>
    </row>
    <row r="6" spans="1:4">
      <c r="B6" t="s">
        <v>62</v>
      </c>
      <c r="C6" s="179">
        <f>IF('DOE25'!H664+'DOE25'!H669=0,0,ROUND('DOE25'!H671,0))</f>
        <v>21286</v>
      </c>
    </row>
    <row r="7" spans="1:4">
      <c r="B7" t="s">
        <v>705</v>
      </c>
      <c r="C7" s="179">
        <f>IF('DOE25'!I664+'DOE25'!I669=0,0,ROUND('DOE25'!I671,0))</f>
        <v>17625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3204467</v>
      </c>
      <c r="D10" s="182">
        <f>ROUND((C10/$C$28)*100,1)</f>
        <v>29.1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2385115</v>
      </c>
      <c r="D11" s="182">
        <f>ROUND((C11/$C$28)*100,1)</f>
        <v>21.6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18080</v>
      </c>
      <c r="D12" s="182">
        <f>ROUND((C12/$C$28)*100,1)</f>
        <v>0.2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104327</v>
      </c>
      <c r="D13" s="182">
        <f>ROUND((C13/$C$28)*100,1)</f>
        <v>0.9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827867</v>
      </c>
      <c r="D15" s="182">
        <f t="shared" ref="D15:D27" si="0">ROUND((C15/$C$28)*100,1)</f>
        <v>7.5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1176766</v>
      </c>
      <c r="D16" s="182">
        <f t="shared" si="0"/>
        <v>10.7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390011</v>
      </c>
      <c r="D17" s="182">
        <f t="shared" si="0"/>
        <v>3.5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891882</v>
      </c>
      <c r="D18" s="182">
        <f t="shared" si="0"/>
        <v>8.1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1159430</v>
      </c>
      <c r="D20" s="182">
        <f t="shared" si="0"/>
        <v>10.5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553173</v>
      </c>
      <c r="D21" s="182">
        <f t="shared" si="0"/>
        <v>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6800</v>
      </c>
      <c r="D24" s="182">
        <f t="shared" si="0"/>
        <v>0.1</v>
      </c>
    </row>
    <row r="25" spans="1:4">
      <c r="A25">
        <v>5120</v>
      </c>
      <c r="B25" t="s">
        <v>720</v>
      </c>
      <c r="C25" s="179">
        <f>ROUND('DOE25'!L260+'DOE25'!L341,0)</f>
        <v>133759</v>
      </c>
      <c r="D25" s="182">
        <f t="shared" si="0"/>
        <v>1.2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177334.5</v>
      </c>
      <c r="D27" s="182">
        <f t="shared" si="0"/>
        <v>1.6</v>
      </c>
    </row>
    <row r="28" spans="1:4">
      <c r="B28" s="187" t="s">
        <v>723</v>
      </c>
      <c r="C28" s="180">
        <f>SUM(C10:C27)</f>
        <v>11029011.5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11029011.5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265000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4392786</v>
      </c>
      <c r="D35" s="182">
        <f t="shared" ref="D35:D40" si="1">ROUND((C35/$C$41)*100,1)</f>
        <v>38.4</v>
      </c>
    </row>
    <row r="36" spans="1:4">
      <c r="B36" s="185" t="s">
        <v>743</v>
      </c>
      <c r="C36" s="179">
        <f>SUM('DOE25'!F111:J111)-SUM('DOE25'!G96:G109)+('DOE25'!F173+'DOE25'!F174+'DOE25'!I173+'DOE25'!I174)-C35</f>
        <v>284252.38999999966</v>
      </c>
      <c r="D36" s="182">
        <f t="shared" si="1"/>
        <v>2.5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4818227</v>
      </c>
      <c r="D37" s="182">
        <f t="shared" si="1"/>
        <v>42.1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370608</v>
      </c>
      <c r="D38" s="182">
        <f t="shared" si="1"/>
        <v>3.2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1582034</v>
      </c>
      <c r="D39" s="182">
        <f t="shared" si="1"/>
        <v>13.8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11447907.390000001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>
      <c r="A2" s="293" t="s">
        <v>767</v>
      </c>
      <c r="B2" s="294"/>
      <c r="C2" s="294"/>
      <c r="D2" s="294"/>
      <c r="E2" s="294"/>
      <c r="F2" s="291" t="str">
        <f>'DOE25'!A2</f>
        <v>Pittsfield SD</v>
      </c>
      <c r="G2" s="292"/>
      <c r="H2" s="292"/>
      <c r="I2" s="292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>
      <c r="A4" s="219"/>
      <c r="B4" s="220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>
      <c r="A30" s="219"/>
      <c r="B30" s="220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>
      <c r="A31" s="219"/>
      <c r="B31" s="220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>
      <c r="A32" s="219"/>
      <c r="B32" s="220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9"/>
      <c r="AO32" s="220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9"/>
      <c r="BB32" s="220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9"/>
      <c r="BO32" s="220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9"/>
      <c r="CB32" s="220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9"/>
      <c r="CO32" s="220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9"/>
      <c r="DB32" s="220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9"/>
      <c r="DO32" s="220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9"/>
      <c r="EB32" s="220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9"/>
      <c r="EO32" s="220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9"/>
      <c r="FB32" s="220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9"/>
      <c r="FO32" s="220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9"/>
      <c r="GB32" s="220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9"/>
      <c r="GO32" s="220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9"/>
      <c r="HB32" s="220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9"/>
      <c r="HO32" s="220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9"/>
      <c r="IB32" s="220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9"/>
      <c r="IO32" s="220"/>
      <c r="IP32" s="283"/>
      <c r="IQ32" s="283"/>
      <c r="IR32" s="283"/>
      <c r="IS32" s="283"/>
      <c r="IT32" s="283"/>
      <c r="IU32" s="283"/>
      <c r="IV32" s="283"/>
    </row>
    <row r="33" spans="1:256">
      <c r="A33" s="219"/>
      <c r="B33" s="220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>
      <c r="A39" s="219"/>
      <c r="B39" s="220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>
      <c r="A40" s="219"/>
      <c r="B40" s="220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>
      <c r="A41" s="219"/>
      <c r="B41" s="220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>
      <c r="A60" s="219"/>
      <c r="B60" s="220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>
      <c r="A61" s="219"/>
      <c r="B61" s="220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>
      <c r="A62" s="219"/>
      <c r="B62" s="220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>
      <c r="A63" s="219"/>
      <c r="B63" s="220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>
      <c r="A64" s="219"/>
      <c r="B64" s="220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>
      <c r="A65" s="219"/>
      <c r="B65" s="220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>
      <c r="A66" s="219"/>
      <c r="B66" s="220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>
      <c r="A67" s="219"/>
      <c r="B67" s="220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>
      <c r="A68" s="219"/>
      <c r="B68" s="220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>
      <c r="A69" s="219"/>
      <c r="B69" s="220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CP40:CZ40"/>
    <mergeCell ref="DC40:DM40"/>
    <mergeCell ref="EP40:EZ40"/>
    <mergeCell ref="CC39:CM39"/>
    <mergeCell ref="CP39:CZ39"/>
    <mergeCell ref="BP39:BZ39"/>
    <mergeCell ref="DC39:DM39"/>
    <mergeCell ref="DP39:DZ39"/>
    <mergeCell ref="EC39:E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2:M42"/>
    <mergeCell ref="IC40:IM40"/>
    <mergeCell ref="C43:M43"/>
    <mergeCell ref="BC40:BM40"/>
    <mergeCell ref="BP40:BZ40"/>
    <mergeCell ref="FC40:FM40"/>
    <mergeCell ref="FP40:FZ40"/>
    <mergeCell ref="CC40:CM40"/>
    <mergeCell ref="IP39:IV39"/>
    <mergeCell ref="EP39:EZ39"/>
    <mergeCell ref="FC39:FM39"/>
    <mergeCell ref="FP39:FZ39"/>
    <mergeCell ref="GP39:GZ39"/>
    <mergeCell ref="IC39:IM39"/>
    <mergeCell ref="HC39:HM39"/>
    <mergeCell ref="GC39:GM39"/>
    <mergeCell ref="IP38:IV38"/>
    <mergeCell ref="HP39:HZ39"/>
    <mergeCell ref="EC38:EM38"/>
    <mergeCell ref="IC32:IM32"/>
    <mergeCell ref="IP32:IV32"/>
    <mergeCell ref="EP38:EZ38"/>
    <mergeCell ref="FC38:FM38"/>
    <mergeCell ref="FP38:FZ38"/>
    <mergeCell ref="GC38:GM38"/>
    <mergeCell ref="GP38:GZ38"/>
    <mergeCell ref="EC32:EM32"/>
    <mergeCell ref="EP32:EZ32"/>
    <mergeCell ref="FC32:FM32"/>
    <mergeCell ref="HP38:HZ38"/>
    <mergeCell ref="IC38:IM38"/>
    <mergeCell ref="HC38:HM38"/>
    <mergeCell ref="GP32:GZ32"/>
    <mergeCell ref="FP32:FZ32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HC30:HM30"/>
    <mergeCell ref="DC31:DM31"/>
    <mergeCell ref="GC32:GM32"/>
    <mergeCell ref="HC31:HM31"/>
    <mergeCell ref="HP31:HZ31"/>
    <mergeCell ref="HC32:HM32"/>
    <mergeCell ref="HP32:HZ32"/>
    <mergeCell ref="DC32:DM32"/>
    <mergeCell ref="DP31:DZ31"/>
    <mergeCell ref="EC31:EM31"/>
    <mergeCell ref="DP38:DZ38"/>
    <mergeCell ref="DP30:DZ30"/>
    <mergeCell ref="EC30:EM30"/>
    <mergeCell ref="EP30:EZ30"/>
    <mergeCell ref="FC30:FM30"/>
    <mergeCell ref="HP30:HZ30"/>
    <mergeCell ref="IC30:IM30"/>
    <mergeCell ref="EP31:EZ31"/>
    <mergeCell ref="DP32:DZ32"/>
    <mergeCell ref="FC31:FM31"/>
    <mergeCell ref="FP31:FZ31"/>
    <mergeCell ref="GC31:GM31"/>
    <mergeCell ref="GP31:GZ31"/>
    <mergeCell ref="GC30:GM30"/>
    <mergeCell ref="GP30:GZ30"/>
    <mergeCell ref="FP29:FZ29"/>
    <mergeCell ref="GC29:GM29"/>
    <mergeCell ref="GP29:GZ29"/>
    <mergeCell ref="FP30:FZ30"/>
    <mergeCell ref="HC29:HM29"/>
    <mergeCell ref="IC31:IM31"/>
    <mergeCell ref="HP29:HZ29"/>
    <mergeCell ref="IC29:IM29"/>
    <mergeCell ref="IP29:IV29"/>
    <mergeCell ref="IP31:IV31"/>
    <mergeCell ref="P40:Z40"/>
    <mergeCell ref="AC40:AM40"/>
    <mergeCell ref="BP32:BZ32"/>
    <mergeCell ref="BC38:BM38"/>
    <mergeCell ref="BP38:BZ38"/>
    <mergeCell ref="AC32:AM32"/>
    <mergeCell ref="AP32:AZ32"/>
    <mergeCell ref="C32:M32"/>
    <mergeCell ref="C30:M30"/>
    <mergeCell ref="C31:M31"/>
    <mergeCell ref="AP38:AZ38"/>
    <mergeCell ref="P39:Z39"/>
    <mergeCell ref="AC39:AM39"/>
    <mergeCell ref="AP39:AZ39"/>
    <mergeCell ref="DC38:DM38"/>
    <mergeCell ref="CC38:CM38"/>
    <mergeCell ref="CC32:CM32"/>
    <mergeCell ref="CP38:CZ38"/>
    <mergeCell ref="P38:Z38"/>
    <mergeCell ref="AC38:AM38"/>
    <mergeCell ref="CC30:CM30"/>
    <mergeCell ref="BC29:BM29"/>
    <mergeCell ref="BP29:BZ29"/>
    <mergeCell ref="CC29:CM29"/>
    <mergeCell ref="CP29:CZ29"/>
    <mergeCell ref="DC29:DM29"/>
    <mergeCell ref="P31:Z31"/>
    <mergeCell ref="AC31:AM31"/>
    <mergeCell ref="AP31:AZ31"/>
    <mergeCell ref="P32:Z32"/>
    <mergeCell ref="P30:Z30"/>
    <mergeCell ref="AC30:AM30"/>
    <mergeCell ref="AP30:AZ30"/>
    <mergeCell ref="BC30:BM30"/>
    <mergeCell ref="BP30:BZ30"/>
    <mergeCell ref="CP32:CZ32"/>
    <mergeCell ref="CP30:CZ30"/>
    <mergeCell ref="DC30:DM30"/>
    <mergeCell ref="DP29:DZ29"/>
    <mergeCell ref="EC29:EM29"/>
    <mergeCell ref="EP29:EZ29"/>
    <mergeCell ref="FC29:FM29"/>
    <mergeCell ref="A1:I1"/>
    <mergeCell ref="C3:M3"/>
    <mergeCell ref="C4:M4"/>
    <mergeCell ref="F2:I2"/>
    <mergeCell ref="A2:E2"/>
    <mergeCell ref="AP29:AZ29"/>
    <mergeCell ref="P29:Z29"/>
    <mergeCell ref="AC29:AM29"/>
    <mergeCell ref="C10:M10"/>
    <mergeCell ref="C11:M11"/>
    <mergeCell ref="C12:M12"/>
    <mergeCell ref="C18:M18"/>
    <mergeCell ref="C19:M19"/>
    <mergeCell ref="C20:M20"/>
    <mergeCell ref="C13:M13"/>
    <mergeCell ref="C5:M5"/>
    <mergeCell ref="C6:M6"/>
    <mergeCell ref="C7:M7"/>
    <mergeCell ref="C8:M8"/>
    <mergeCell ref="C34:M34"/>
    <mergeCell ref="C35:M35"/>
    <mergeCell ref="C36:M36"/>
    <mergeCell ref="C9:M9"/>
    <mergeCell ref="C47:M47"/>
    <mergeCell ref="C48:M48"/>
    <mergeCell ref="C49:M49"/>
    <mergeCell ref="C51:M51"/>
    <mergeCell ref="C14:M14"/>
    <mergeCell ref="C15:M15"/>
    <mergeCell ref="C16:M16"/>
    <mergeCell ref="C17:M17"/>
    <mergeCell ref="C38:M38"/>
    <mergeCell ref="C39:M39"/>
    <mergeCell ref="C29:M29"/>
    <mergeCell ref="C25:M25"/>
    <mergeCell ref="C26:M26"/>
    <mergeCell ref="C27:M27"/>
    <mergeCell ref="C28:M28"/>
    <mergeCell ref="C41:M41"/>
    <mergeCell ref="C33:M33"/>
    <mergeCell ref="C37:M37"/>
    <mergeCell ref="C40:M40"/>
    <mergeCell ref="C67:M67"/>
    <mergeCell ref="C68:M68"/>
    <mergeCell ref="C69:M69"/>
    <mergeCell ref="C52:M52"/>
    <mergeCell ref="C50:M50"/>
    <mergeCell ref="C63:M63"/>
    <mergeCell ref="C64:M64"/>
    <mergeCell ref="C65:M65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81:M81"/>
    <mergeCell ref="C82:M82"/>
    <mergeCell ref="C77:M77"/>
    <mergeCell ref="C78:M78"/>
    <mergeCell ref="C70:M70"/>
    <mergeCell ref="C21:M21"/>
    <mergeCell ref="C22:M22"/>
    <mergeCell ref="C23:M23"/>
    <mergeCell ref="C24:M24"/>
    <mergeCell ref="C79:M79"/>
    <mergeCell ref="C80:M80"/>
    <mergeCell ref="A72:E72"/>
    <mergeCell ref="C73:M73"/>
    <mergeCell ref="C74:M74"/>
    <mergeCell ref="C75:M75"/>
    <mergeCell ref="C76:M76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66:M6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2012-10-02T13:14:37Z</cp:lastPrinted>
  <dcterms:created xsi:type="dcterms:W3CDTF">1997-12-04T19:04:30Z</dcterms:created>
  <dcterms:modified xsi:type="dcterms:W3CDTF">2012-11-21T15:23:11Z</dcterms:modified>
</cp:coreProperties>
</file>