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01" i="1" l="1"/>
  <c r="F56" i="1" l="1"/>
  <c r="I196" i="1" l="1"/>
  <c r="G497" i="1"/>
  <c r="F497" i="1"/>
  <c r="D9" i="13"/>
  <c r="H574" i="1"/>
  <c r="J203" i="1"/>
  <c r="C39" i="12"/>
  <c r="C37" i="12"/>
  <c r="C21" i="12"/>
  <c r="C20" i="12"/>
  <c r="C19" i="12"/>
  <c r="C12" i="12"/>
  <c r="C11" i="12"/>
  <c r="C10" i="12"/>
  <c r="H276" i="1"/>
  <c r="F276" i="1"/>
  <c r="B19" i="12"/>
  <c r="I10" i="1"/>
  <c r="H13" i="1"/>
  <c r="H158" i="1"/>
  <c r="H154" i="1"/>
  <c r="I471" i="1"/>
  <c r="J471" i="1"/>
  <c r="J467" i="1"/>
  <c r="G96" i="1"/>
  <c r="G471" i="1"/>
  <c r="G458" i="1"/>
  <c r="G439" i="1"/>
  <c r="F439" i="1"/>
  <c r="H377" i="1"/>
  <c r="H281" i="1"/>
  <c r="J275" i="1"/>
  <c r="F275" i="1"/>
  <c r="F281" i="1"/>
  <c r="H275" i="1"/>
  <c r="H357" i="1"/>
  <c r="F95" i="1"/>
  <c r="I206" i="1" l="1"/>
  <c r="G207" i="1"/>
  <c r="G204" i="1"/>
  <c r="H204" i="1"/>
  <c r="K203" i="1"/>
  <c r="H203" i="1"/>
  <c r="F203" i="1"/>
  <c r="I202" i="1"/>
  <c r="H202" i="1"/>
  <c r="G202" i="1"/>
  <c r="F202" i="1"/>
  <c r="I201" i="1"/>
  <c r="G201" i="1"/>
  <c r="F201" i="1"/>
  <c r="H201" i="1"/>
  <c r="H196" i="1"/>
  <c r="H22" i="1"/>
  <c r="G40" i="1"/>
  <c r="F49" i="1"/>
  <c r="F12" i="1"/>
  <c r="F9" i="1"/>
  <c r="F40" i="2" l="1"/>
  <c r="D39" i="2"/>
  <c r="G654" i="1" l="1"/>
  <c r="F47" i="2" l="1"/>
  <c r="E47" i="2"/>
  <c r="D47" i="2"/>
  <c r="C47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C118" i="2" s="1"/>
  <c r="L220" i="1"/>
  <c r="L238" i="1"/>
  <c r="F12" i="13"/>
  <c r="G12" i="13"/>
  <c r="D12" i="13" s="1"/>
  <c r="C12" i="13" s="1"/>
  <c r="L204" i="1"/>
  <c r="C18" i="10" s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G31" i="13" s="1"/>
  <c r="K308" i="1"/>
  <c r="K327" i="1"/>
  <c r="L275" i="1"/>
  <c r="L276" i="1"/>
  <c r="E109" i="2" s="1"/>
  <c r="L277" i="1"/>
  <c r="L278" i="1"/>
  <c r="E111" i="2" s="1"/>
  <c r="L280" i="1"/>
  <c r="L281" i="1"/>
  <c r="C16" i="10" s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25" i="10" s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2" i="10"/>
  <c r="C15" i="10"/>
  <c r="C17" i="10"/>
  <c r="C19" i="10"/>
  <c r="C21" i="10"/>
  <c r="L249" i="1"/>
  <c r="L331" i="1"/>
  <c r="L253" i="1"/>
  <c r="C24" i="10" s="1"/>
  <c r="L267" i="1"/>
  <c r="L268" i="1"/>
  <c r="L348" i="1"/>
  <c r="L349" i="1"/>
  <c r="I664" i="1"/>
  <c r="I669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E31" i="2" s="1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10" i="2"/>
  <c r="E110" i="2"/>
  <c r="C112" i="2"/>
  <c r="E112" i="2"/>
  <c r="C113" i="2"/>
  <c r="E113" i="2"/>
  <c r="D114" i="2"/>
  <c r="F114" i="2"/>
  <c r="G114" i="2"/>
  <c r="C117" i="2"/>
  <c r="E117" i="2"/>
  <c r="C119" i="2"/>
  <c r="E119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G163" i="2" s="1"/>
  <c r="H502" i="1"/>
  <c r="D163" i="2" s="1"/>
  <c r="I502" i="1"/>
  <c r="E163" i="2" s="1"/>
  <c r="J502" i="1"/>
  <c r="F163" i="2" s="1"/>
  <c r="F19" i="1"/>
  <c r="G616" i="1" s="1"/>
  <c r="G19" i="1"/>
  <c r="H19" i="1"/>
  <c r="H47" i="1" s="1"/>
  <c r="E46" i="2" s="1"/>
  <c r="E49" i="2" s="1"/>
  <c r="I19" i="1"/>
  <c r="I47" i="1" s="1"/>
  <c r="F46" i="2" s="1"/>
  <c r="F49" i="2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I256" i="1" s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638" i="1" s="1"/>
  <c r="G445" i="1"/>
  <c r="H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H641" i="1" s="1"/>
  <c r="J469" i="1"/>
  <c r="G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J618" i="1" s="1"/>
  <c r="G619" i="1"/>
  <c r="J619" i="1" s="1"/>
  <c r="G621" i="1"/>
  <c r="G622" i="1"/>
  <c r="G623" i="1"/>
  <c r="G624" i="1"/>
  <c r="H630" i="1"/>
  <c r="G633" i="1"/>
  <c r="H633" i="1"/>
  <c r="G634" i="1"/>
  <c r="H634" i="1"/>
  <c r="J634" i="1" s="1"/>
  <c r="H635" i="1"/>
  <c r="H636" i="1"/>
  <c r="H637" i="1"/>
  <c r="H638" i="1"/>
  <c r="G639" i="1"/>
  <c r="H639" i="1"/>
  <c r="G640" i="1"/>
  <c r="H640" i="1"/>
  <c r="G642" i="1"/>
  <c r="H642" i="1"/>
  <c r="G643" i="1"/>
  <c r="H643" i="1"/>
  <c r="G644" i="1"/>
  <c r="H646" i="1"/>
  <c r="G648" i="1"/>
  <c r="G649" i="1"/>
  <c r="H649" i="1"/>
  <c r="J649" i="1" s="1"/>
  <c r="G650" i="1"/>
  <c r="G651" i="1"/>
  <c r="H651" i="1"/>
  <c r="G652" i="1"/>
  <c r="H652" i="1"/>
  <c r="J652" i="1" s="1"/>
  <c r="G653" i="1"/>
  <c r="H653" i="1"/>
  <c r="J653" i="1" s="1"/>
  <c r="H654" i="1"/>
  <c r="J351" i="1"/>
  <c r="F191" i="1"/>
  <c r="L255" i="1"/>
  <c r="K256" i="1"/>
  <c r="K270" i="1" s="1"/>
  <c r="G159" i="2"/>
  <c r="C18" i="2"/>
  <c r="F31" i="2"/>
  <c r="C26" i="10"/>
  <c r="L327" i="1"/>
  <c r="L350" i="1"/>
  <c r="I661" i="1"/>
  <c r="A31" i="12"/>
  <c r="C69" i="2"/>
  <c r="A40" i="12"/>
  <c r="G8" i="2"/>
  <c r="G161" i="2"/>
  <c r="D61" i="2"/>
  <c r="D62" i="2" s="1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D50" i="2" s="1"/>
  <c r="G156" i="2"/>
  <c r="F18" i="2"/>
  <c r="G162" i="2"/>
  <c r="G160" i="2"/>
  <c r="G155" i="2"/>
  <c r="E143" i="2"/>
  <c r="G102" i="2"/>
  <c r="E102" i="2"/>
  <c r="C102" i="2"/>
  <c r="D90" i="2"/>
  <c r="F90" i="2"/>
  <c r="E61" i="2"/>
  <c r="E62" i="2" s="1"/>
  <c r="C61" i="2"/>
  <c r="C31" i="2"/>
  <c r="G61" i="2"/>
  <c r="D29" i="13"/>
  <c r="C29" i="13" s="1"/>
  <c r="D19" i="13"/>
  <c r="C19" i="13" s="1"/>
  <c r="D14" i="13"/>
  <c r="C14" i="13" s="1"/>
  <c r="E13" i="13"/>
  <c r="C13" i="13" s="1"/>
  <c r="F544" i="1" l="1"/>
  <c r="C62" i="2"/>
  <c r="K502" i="1"/>
  <c r="K499" i="1"/>
  <c r="L246" i="1"/>
  <c r="C13" i="10"/>
  <c r="C111" i="2"/>
  <c r="L228" i="1"/>
  <c r="J651" i="1"/>
  <c r="I445" i="1"/>
  <c r="G641" i="1" s="1"/>
  <c r="J641" i="1" s="1"/>
  <c r="L289" i="1"/>
  <c r="E118" i="2"/>
  <c r="E114" i="2"/>
  <c r="K337" i="1"/>
  <c r="K351" i="1" s="1"/>
  <c r="F139" i="1"/>
  <c r="C109" i="2"/>
  <c r="H659" i="1"/>
  <c r="H663" i="1" s="1"/>
  <c r="H666" i="1" s="1"/>
  <c r="J648" i="1"/>
  <c r="C122" i="2"/>
  <c r="C120" i="2"/>
  <c r="F256" i="1"/>
  <c r="F270" i="1" s="1"/>
  <c r="G256" i="1"/>
  <c r="G270" i="1" s="1"/>
  <c r="C11" i="10"/>
  <c r="G33" i="13"/>
  <c r="L210" i="1"/>
  <c r="A22" i="12"/>
  <c r="F659" i="1"/>
  <c r="F663" i="1" s="1"/>
  <c r="F50" i="2"/>
  <c r="J616" i="1"/>
  <c r="C80" i="2"/>
  <c r="E77" i="2"/>
  <c r="E80" i="2" s="1"/>
  <c r="F103" i="2"/>
  <c r="L426" i="1"/>
  <c r="L433" i="1" s="1"/>
  <c r="G637" i="1" s="1"/>
  <c r="J637" i="1" s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I192" i="1" s="1"/>
  <c r="H168" i="1"/>
  <c r="G551" i="1"/>
  <c r="E50" i="2"/>
  <c r="J643" i="1"/>
  <c r="J642" i="1"/>
  <c r="J475" i="1"/>
  <c r="H625" i="1" s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H191" i="1"/>
  <c r="E127" i="2"/>
  <c r="F551" i="1"/>
  <c r="C35" i="10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H192" i="1"/>
  <c r="L564" i="1"/>
  <c r="L570" i="1" s="1"/>
  <c r="G544" i="1"/>
  <c r="L544" i="1"/>
  <c r="H544" i="1"/>
  <c r="K550" i="1"/>
  <c r="K551" i="1" s="1"/>
  <c r="F143" i="2"/>
  <c r="F144" i="2" s="1"/>
  <c r="C103" i="2" l="1"/>
  <c r="C36" i="10"/>
  <c r="C41" i="10" s="1"/>
  <c r="D39" i="10" s="1"/>
  <c r="H671" i="1"/>
  <c r="C6" i="10" s="1"/>
  <c r="C114" i="2"/>
  <c r="L256" i="1"/>
  <c r="L270" i="1" s="1"/>
  <c r="G631" i="1" s="1"/>
  <c r="G629" i="1"/>
  <c r="I467" i="1"/>
  <c r="G628" i="1"/>
  <c r="H467" i="1"/>
  <c r="G627" i="1"/>
  <c r="G467" i="1"/>
  <c r="E144" i="2"/>
  <c r="F192" i="1"/>
  <c r="C127" i="2"/>
  <c r="C28" i="10"/>
  <c r="D25" i="10" s="1"/>
  <c r="H647" i="1"/>
  <c r="J647" i="1" s="1"/>
  <c r="D22" i="10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G626" i="1" l="1"/>
  <c r="F467" i="1"/>
  <c r="F471" i="1"/>
  <c r="F473" i="1" s="1"/>
  <c r="G632" i="1"/>
  <c r="H471" i="1"/>
  <c r="I469" i="1"/>
  <c r="I475" i="1" s="1"/>
  <c r="H624" i="1" s="1"/>
  <c r="J624" i="1" s="1"/>
  <c r="H629" i="1"/>
  <c r="J629" i="1" s="1"/>
  <c r="H469" i="1"/>
  <c r="H628" i="1"/>
  <c r="J628" i="1" s="1"/>
  <c r="G469" i="1"/>
  <c r="G475" i="1" s="1"/>
  <c r="H622" i="1" s="1"/>
  <c r="J622" i="1" s="1"/>
  <c r="H627" i="1"/>
  <c r="C144" i="2"/>
  <c r="D10" i="10"/>
  <c r="D26" i="10"/>
  <c r="D13" i="10"/>
  <c r="D15" i="10"/>
  <c r="D20" i="10"/>
  <c r="D18" i="10"/>
  <c r="D17" i="10"/>
  <c r="D27" i="10"/>
  <c r="D21" i="10"/>
  <c r="D12" i="10"/>
  <c r="D16" i="10"/>
  <c r="D19" i="10"/>
  <c r="C30" i="10"/>
  <c r="D11" i="10"/>
  <c r="D23" i="10"/>
  <c r="D24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26" i="1" l="1"/>
  <c r="J626" i="1" s="1"/>
  <c r="F469" i="1"/>
  <c r="F475" i="1" s="1"/>
  <c r="H621" i="1" s="1"/>
  <c r="J621" i="1" s="1"/>
  <c r="H631" i="1"/>
  <c r="J631" i="1" s="1"/>
  <c r="H473" i="1"/>
  <c r="H475" i="1" s="1"/>
  <c r="H623" i="1" s="1"/>
  <c r="H632" i="1"/>
  <c r="J632" i="1" s="1"/>
  <c r="J627" i="1"/>
  <c r="D41" i="10"/>
  <c r="D28" i="10"/>
  <c r="I666" i="1"/>
  <c r="I671" i="1"/>
  <c r="C7" i="10" s="1"/>
  <c r="G671" i="1"/>
  <c r="C5" i="10" s="1"/>
  <c r="G666" i="1"/>
  <c r="J623" i="1" l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<sst xmlns="http://schemas.openxmlformats.org/spreadsheetml/2006/main" count="3949" uniqueCount="914">
  <si>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</si>
  <si>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</si>
  <si>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</si>
  <si>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</si>
  <si>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</si>
  <si>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</si>
  <si>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</si>
  <si>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</si>
  <si>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</si>
  <si>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</si>
  <si>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</si>
  <si>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</si>
  <si>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</si>
  <si>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</si>
  <si>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</si>
  <si>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</si>
  <si>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</si>
  <si>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</si>
  <si>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</si>
  <si>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</si>
  <si>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</si>
  <si>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</si>
  <si>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</si>
  <si>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</si>
  <si>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</si>
  <si>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</si>
  <si>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</si>
  <si>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</si>
  <si>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</si>
  <si>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</si>
  <si>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</si>
  <si>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</si>
  <si>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</si>
  <si>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</si>
  <si>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</si>
  <si>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</si>
  <si>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</si>
  <si>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</si>
  <si>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</si>
  <si>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</si>
  <si>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</si>
  <si>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</si>
  <si>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</si>
  <si>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</si>
  <si>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</si>
  <si>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</si>
  <si>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</si>
  <si>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</si>
  <si>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</si>
  <si>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</si>
  <si>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</si>
  <si>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</si>
  <si>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</si>
  <si>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</si>
  <si>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</si>
  <si>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</si>
  <si>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</si>
  <si>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</si>
  <si>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</si>
  <si>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</si>
  <si>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</si>
  <si>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</si>
  <si>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</si>
  <si>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</si>
  <si>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</si>
  <si>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</si>
  <si>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</si>
  <si>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</si>
  <si>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</si>
  <si>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</si>
  <si>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</si>
  <si>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</si>
  <si>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</si>
  <si>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</si>
  <si>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</si>
  <si>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</si>
  <si>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</si>
  <si>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</si>
  <si>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</si>
  <si>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</si>
  <si>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</si>
  <si>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</si>
  <si>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</si>
  <si>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</si>
  <si>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</si>
  <si>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</si>
  <si>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</si>
  <si>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</si>
  <si>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</si>
  <si>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</si>
  <si>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</si>
  <si>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</si>
  <si>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</si>
  <si>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</si>
  <si>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</si>
  <si>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</si>
  <si>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</si>
  <si>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</si>
  <si>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</si>
  <si>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</si>
  <si>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</si>
  <si>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</si>
  <si>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</si>
  <si>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</si>
  <si>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</si>
  <si>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</si>
  <si>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</si>
  <si>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</si>
  <si>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</si>
  <si>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</si>
  <si>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</si>
  <si>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</si>
  <si>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</si>
  <si>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</si>
  <si>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</si>
  <si>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</si>
  <si>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</si>
  <si>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</si>
  <si>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</si>
  <si>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</si>
  <si>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</si>
  <si>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</si>
  <si>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</si>
  <si>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</si>
  <si>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</si>
  <si>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</si>
  <si>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</si>
  <si>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</si>
  <si>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</si>
  <si>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</si>
  <si>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</si>
  <si>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</si>
  <si>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</si>
  <si>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</si>
  <si>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</si>
  <si>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</si>
  <si>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</si>
  <si>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</si>
  <si>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</si>
  <si>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</si>
  <si>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</si>
  <si>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</si>
  <si>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</si>
  <si>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</si>
  <si>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</si>
  <si>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</si>
  <si>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</si>
  <si>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</si>
  <si>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</si>
  <si>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</si>
  <si>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</si>
  <si>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</si>
  <si>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</si>
  <si>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</si>
  <si>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</si>
  <si>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</si>
  <si>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</si>
  <si>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</si>
  <si>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</si>
  <si>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</si>
  <si>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</si>
  <si>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</si>
  <si>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</si>
  <si>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</si>
  <si>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</si>
  <si>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</si>
  <si>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</si>
  <si>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</si>
  <si>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</si>
  <si>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</si>
  <si>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</si>
  <si>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</si>
  <si>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</si>
  <si>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</si>
  <si>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</si>
  <si>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</si>
  <si>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</si>
  <si>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</si>
  <si>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</si>
  <si>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</si>
  <si>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</si>
  <si>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</si>
  <si>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</si>
  <si>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</si>
  <si>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</si>
  <si>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</si>
  <si>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</si>
  <si>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</si>
  <si>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</si>
  <si>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</si>
  <si>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</si>
  <si>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</si>
  <si>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</si>
  <si>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</si>
  <si>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</si>
  <si>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</si>
  <si>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</si>
  <si>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</si>
  <si>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</si>
  <si>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</si>
  <si>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</si>
  <si>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</si>
  <si>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</si>
  <si>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</si>
  <si>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</si>
  <si>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</si>
  <si>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</si>
  <si>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</si>
  <si>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</si>
  <si>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</si>
  <si>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</si>
  <si>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</si>
  <si>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</si>
  <si>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</si>
  <si>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</si>
  <si>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</si>
  <si>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</si>
  <si>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</si>
  <si>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</si>
  <si>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</si>
  <si>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</si>
  <si>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</si>
  <si>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</si>
  <si>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</si>
  <si>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</si>
  <si>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</si>
  <si>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</si>
  <si>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</si>
  <si>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</si>
  <si>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</si>
  <si>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</si>
  <si>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</si>
  <si>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</si>
  <si>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</si>
  <si>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</si>
  <si>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</si>
  <si>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</si>
  <si>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</si>
  <si>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</si>
  <si>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</si>
  <si>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</si>
  <si>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</si>
  <si>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</si>
  <si>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</si>
  <si>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</si>
  <si>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</si>
  <si>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</si>
  <si>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</si>
  <si>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</si>
  <si>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</si>
  <si>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</si>
  <si>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</si>
  <si>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</si>
  <si>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</si>
  <si>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</si>
  <si>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</si>
  <si>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</si>
  <si>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</si>
  <si>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</si>
  <si>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</si>
  <si>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</si>
  <si>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</si>
  <si>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</si>
  <si>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</si>
  <si>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</si>
  <si>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</si>
  <si>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</si>
  <si>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</si>
  <si>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</si>
  <si>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</si>
  <si>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</si>
  <si>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</si>
  <si>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</si>
  <si>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</si>
  <si>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</si>
  <si>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</si>
  <si>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</si>
  <si>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</si>
  <si>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</si>
  <si>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</si>
  <si>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</si>
  <si>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</si>
  <si>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</si>
  <si>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</si>
  <si>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</si>
  <si>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</si>
  <si>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</si>
  <si>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</si>
  <si>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</si>
  <si>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</si>
  <si>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</si>
  <si>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</si>
  <si>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</si>
  <si>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</si>
  <si>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</si>
  <si>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</si>
  <si>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</si>
  <si>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</si>
  <si>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</si>
  <si>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</si>
  <si>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</si>
  <si>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</si>
  <si>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</si>
  <si>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</si>
  <si>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</si>
  <si>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</si>
  <si>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</si>
  <si>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</si>
  <si>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</si>
  <si>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</si>
  <si>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</si>
  <si>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</si>
  <si>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</si>
  <si>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</si>
  <si>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</si>
  <si>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</si>
  <si>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</si>
  <si>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</si>
  <si>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</si>
  <si>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</si>
  <si>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</si>
  <si>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</si>
  <si>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</si>
  <si>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</si>
  <si>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</si>
  <si>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</si>
  <si>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</si>
  <si>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</si>
  <si>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</si>
  <si>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</si>
  <si>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</si>
  <si>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</si>
  <si>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</si>
  <si>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</si>
  <si>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</si>
  <si>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</si>
  <si>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</si>
  <si>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</si>
  <si>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</si>
  <si>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</si>
  <si>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</si>
  <si>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</si>
  <si>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</si>
  <si>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</si>
  <si>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</si>
  <si>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</si>
  <si>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</si>
  <si>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</si>
  <si>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</si>
  <si>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</si>
  <si>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</si>
  <si>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</si>
  <si>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</si>
  <si>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</si>
  <si>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</si>
  <si>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</si>
  <si>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</si>
  <si>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</si>
  <si>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</si>
  <si>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</si>
  <si>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</si>
  <si>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</si>
  <si>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</si>
  <si>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</si>
  <si>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</si>
  <si>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</si>
  <si>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</si>
  <si>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</si>
  <si>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</si>
  <si>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</si>
  <si>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</si>
  <si>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</si>
  <si>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</si>
  <si>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</si>
  <si>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</si>
  <si>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</si>
  <si>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</si>
  <si>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</si>
  <si>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</si>
  <si>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</si>
  <si>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</si>
  <si>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</si>
  <si>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</si>
  <si>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</si>
  <si>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</si>
  <si>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</si>
  <si>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</si>
  <si>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</si>
  <si>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</si>
  <si>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</si>
  <si>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</si>
  <si>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</si>
  <si>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</si>
  <si>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</si>
  <si>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</si>
  <si>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</si>
  <si>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</si>
  <si>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</si>
  <si>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</si>
  <si>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</si>
  <si>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</si>
  <si>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</si>
  <si>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</si>
  <si>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</si>
  <si>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</si>
  <si>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</si>
  <si>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</si>
  <si>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</si>
  <si>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</si>
  <si>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</si>
  <si>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</si>
  <si>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</si>
  <si>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</si>
  <si>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</si>
  <si>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</si>
  <si>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</si>
  <si>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</si>
  <si>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</si>
  <si>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</si>
  <si>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</si>
  <si>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</si>
  <si>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</si>
  <si>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</si>
  <si>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</si>
  <si>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</si>
  <si>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</si>
  <si>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</si>
  <si>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</si>
  <si>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</si>
  <si>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</si>
  <si>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</si>
  <si>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</si>
  <si>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</si>
  <si>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</si>
  <si>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</si>
  <si>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</si>
  <si>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</si>
  <si>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</si>
  <si>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</si>
  <si>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</si>
  <si>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</si>
  <si>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</si>
  <si>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</si>
  <si>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</si>
  <si>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</si>
  <si>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</si>
  <si>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</si>
  <si>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</si>
  <si>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</si>
  <si>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</si>
  <si>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</si>
  <si>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</si>
  <si>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</si>
  <si>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</si>
  <si>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</si>
  <si>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</si>
  <si>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</si>
  <si>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</si>
  <si>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</si>
  <si>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</si>
  <si>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</si>
  <si>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</si>
  <si>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</si>
  <si>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</si>
  <si>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</si>
  <si>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</si>
  <si>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</si>
  <si>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</si>
  <si>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</si>
  <si>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</si>
  <si>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</si>
  <si>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</si>
  <si>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</si>
  <si>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</si>
  <si>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</si>
  <si>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</si>
  <si>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</si>
  <si>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</si>
  <si>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</si>
  <si>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</si>
  <si>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</si>
  <si>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</si>
  <si>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</si>
  <si>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</si>
  <si>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</si>
  <si>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</si>
  <si>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</si>
  <si>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</si>
  <si>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</si>
  <si>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</si>
  <si>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</si>
  <si>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</si>
  <si>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</si>
  <si>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</si>
  <si>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</si>
  <si>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</si>
  <si>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</si>
  <si>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</si>
  <si>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</si>
  <si>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</si>
  <si>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</si>
  <si>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</si>
  <si>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</si>
  <si>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</si>
  <si>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</si>
  <si>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</si>
  <si>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</si>
  <si>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</si>
  <si>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</si>
  <si>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</si>
  <si>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</si>
  <si>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</si>
  <si>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</si>
  <si>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</si>
  <si>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</si>
  <si>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</si>
  <si>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</si>
  <si>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</si>
  <si>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</si>
  <si>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</si>
  <si>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</si>
  <si>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</si>
  <si>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</si>
  <si>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</si>
  <si>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</si>
  <si>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</si>
  <si>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</si>
  <si>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</si>
  <si>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</si>
  <si>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</si>
  <si>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</si>
  <si>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</si>
  <si>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</si>
  <si>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</si>
  <si>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</si>
  <si>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</si>
  <si>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</si>
  <si>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</si>
  <si>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</si>
  <si>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</si>
  <si>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</si>
  <si>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</si>
  <si>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</si>
  <si>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</si>
  <si>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</si>
  <si>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</si>
  <si>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</si>
  <si>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</si>
  <si>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</si>
  <si>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</si>
  <si>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</si>
  <si>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</si>
  <si>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</si>
  <si>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</si>
  <si>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</si>
  <si>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</si>
  <si>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</si>
  <si>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</si>
  <si>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</si>
  <si>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</si>
  <si>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</si>
  <si>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</si>
  <si>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</si>
  <si>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</si>
  <si>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</si>
  <si>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</si>
  <si>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</si>
  <si>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</si>
  <si>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</si>
  <si>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</si>
  <si>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</si>
  <si>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</si>
  <si>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</si>
  <si>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</si>
  <si>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</si>
  <si>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</si>
  <si>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</si>
  <si>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</si>
  <si>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</si>
  <si>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</si>
  <si>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</si>
  <si>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</si>
  <si>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</si>
  <si>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</si>
  <si>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</si>
  <si>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</si>
  <si>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</si>
  <si>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</si>
  <si>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</si>
  <si>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</si>
  <si>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</si>
  <si>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</si>
  <si>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</si>
  <si>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</si>
  <si>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</si>
  <si>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</si>
  <si>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</si>
  <si>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</si>
  <si>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</si>
  <si>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</si>
  <si>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</si>
  <si>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</si>
  <si>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</si>
  <si>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</si>
  <si>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</si>
  <si>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</si>
  <si>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</si>
  <si>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</si>
  <si>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</si>
  <si>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</si>
  <si>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</si>
  <si>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</si>
  <si>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</si>
  <si>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</si>
  <si>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</si>
  <si>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</si>
  <si>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</si>
  <si>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</si>
  <si>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</si>
  <si>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</si>
  <si>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</si>
  <si>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</si>
  <si>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</si>
  <si>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</si>
  <si>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</si>
  <si>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</si>
  <si>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</si>
  <si>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</si>
  <si>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</si>
  <si>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</si>
  <si>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</si>
  <si>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</si>
  <si>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</si>
  <si>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</si>
  <si>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</si>
  <si>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</si>
  <si>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</si>
  <si>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</si>
  <si>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</si>
  <si>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</si>
  <si>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</si>
  <si>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</si>
  <si>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</si>
  <si>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</si>
  <si>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</si>
  <si>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</si>
  <si>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</si>
  <si>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</si>
  <si>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</si>
  <si>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</si>
  <si>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</si>
  <si>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</si>
  <si>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</si>
  <si>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</si>
  <si>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</si>
  <si>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</si>
  <si>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</si>
  <si>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</si>
  <si>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</si>
  <si>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</si>
  <si>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</si>
  <si>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</si>
  <si>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</si>
  <si>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</si>
  <si>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</si>
  <si>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</si>
  <si>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</si>
  <si>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</si>
  <si>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</si>
  <si>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</si>
  <si>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</si>
  <si>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</si>
  <si>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</si>
  <si>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</si>
  <si>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</si>
  <si>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</si>
  <si>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</si>
  <si>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</si>
  <si>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</si>
  <si>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</si>
  <si>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</si>
  <si>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</si>
  <si>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</si>
  <si>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</si>
  <si>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</si>
  <si>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</si>
  <si>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</si>
  <si>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</si>
  <si>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</si>
  <si>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</si>
  <si>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</si>
  <si>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</si>
  <si>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</si>
  <si>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</si>
  <si>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</si>
  <si>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</si>
  <si>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</si>
  <si>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</si>
  <si>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</si>
  <si>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</si>
  <si>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</si>
  <si>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</si>
  <si>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</si>
  <si>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</si>
  <si>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</si>
  <si>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</si>
  <si>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</si>
  <si>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</si>
  <si>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</si>
  <si>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</si>
  <si>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</si>
  <si>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</si>
  <si>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</si>
  <si>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</si>
  <si>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</si>
  <si>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</si>
  <si>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</si>
  <si>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</si>
  <si>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</si>
  <si>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</si>
  <si>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</si>
  <si>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</si>
  <si>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</si>
  <si>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</si>
  <si>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</si>
  <si>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</si>
  <si>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</si>
  <si>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</si>
  <si>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</si>
  <si>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</si>
  <si>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</si>
  <si>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</si>
  <si>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</si>
  <si>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</si>
  <si>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</si>
  <si>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</si>
  <si>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</si>
  <si>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</si>
  <si>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</si>
  <si>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</si>
  <si>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</si>
  <si>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</si>
  <si>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</si>
  <si>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</si>
  <si>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</si>
  <si>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</si>
  <si>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</si>
  <si>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</si>
  <si>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</si>
  <si>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</si>
  <si>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</si>
  <si>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</si>
  <si>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</si>
  <si>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</si>
  <si>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</si>
  <si>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</si>
  <si>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</si>
  <si>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</si>
  <si>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</si>
  <si>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</si>
  <si>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</si>
  <si>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</si>
  <si>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</si>
  <si>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</si>
  <si>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</si>
  <si>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</si>
  <si>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</si>
  <si>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</si>
  <si>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</si>
  <si>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</si>
  <si>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</si>
  <si>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</si>
  <si>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</si>
  <si>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</si>
  <si>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</si>
  <si>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</si>
  <si>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</si>
  <si>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</si>
  <si>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</si>
  <si>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</si>
  <si>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</si>
  <si>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</si>
  <si>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</si>
  <si>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</si>
  <si>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</si>
  <si>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</si>
  <si>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</si>
  <si>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</si>
  <si>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</si>
  <si>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</si>
  <si>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</si>
  <si>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</si>
  <si>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</si>
  <si>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</si>
  <si>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</si>
  <si>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</si>
  <si>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</si>
  <si>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</si>
  <si>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</si>
  <si>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</si>
  <si>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</si>
  <si>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</si>
  <si>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</si>
  <si>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</si>
  <si>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</si>
  <si>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</si>
  <si>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</si>
  <si>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</si>
  <si>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</si>
  <si>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</si>
  <si>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</si>
  <si>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</si>
  <si>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</si>
  <si>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</si>
  <si>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</si>
  <si>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</si>
  <si>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</si>
  <si>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</si>
  <si>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</si>
  <si>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</si>
  <si>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</si>
  <si>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</si>
  <si>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</si>
  <si>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</si>
  <si>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</si>
  <si>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</si>
  <si>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</si>
  <si>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</si>
  <si>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</si>
  <si>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</si>
  <si>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</si>
  <si>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</si>
  <si>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</si>
  <si>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</si>
  <si>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</si>
  <si>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</si>
  <si>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</si>
  <si>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</si>
  <si>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</si>
  <si>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</si>
  <si>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</si>
  <si>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</si>
  <si>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</si>
  <si>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</si>
  <si>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</si>
  <si>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</si>
  <si>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</si>
  <si>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</si>
  <si>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</si>
  <si>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</si>
  <si>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</si>
  <si>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</si>
  <si>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</si>
  <si>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</si>
  <si>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</si>
  <si>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</si>
  <si>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</si>
  <si>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</si>
  <si>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</si>
  <si>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</si>
  <si>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</si>
  <si>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</si>
  <si>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</si>
  <si>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</si>
  <si>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</si>
  <si>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</si>
  <si>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</si>
  <si>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</si>
  <si>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</si>
  <si>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</si>
  <si>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</si>
  <si>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</si>
  <si>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</si>
  <si>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</si>
  <si>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</si>
  <si>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</si>
  <si>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</si>
  <si>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</si>
  <si>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</si>
  <si>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</si>
  <si>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</si>
  <si>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</si>
  <si>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</si>
  <si>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</si>
  <si>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</si>
  <si>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</si>
  <si>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</si>
  <si>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</si>
  <si>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</si>
  <si>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</si>
  <si>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</si>
  <si>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</si>
  <si>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</si>
  <si>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</si>
  <si>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</si>
  <si>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</si>
  <si>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</si>
  <si>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</si>
  <si>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</si>
  <si>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</si>
  <si>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</si>
  <si>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</si>
  <si>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</si>
  <si>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</si>
  <si>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</si>
  <si>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</si>
  <si>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</si>
  <si>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</si>
  <si>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</si>
  <si>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Plainfield School District</t>
  </si>
  <si>
    <t>7/07</t>
  </si>
  <si>
    <t>8/12</t>
  </si>
  <si>
    <t>12/10</t>
  </si>
  <si>
    <t>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</si>
</sst>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30" sqref="F530:G53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441</v>
      </c>
      <c r="C2" s="21">
        <v>441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143247.44+100+1581.84</f>
        <v>144929.28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79472.929999999993</v>
      </c>
      <c r="G10" s="18"/>
      <c r="H10" s="18"/>
      <c r="I10" s="18">
        <f>1093.16+0.12</f>
        <v>1093.28</v>
      </c>
      <c r="J10" s="67">
        <f>SUM(I439)</f>
        <v>310575.90999999997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42164.84</f>
        <v>42164.84</v>
      </c>
      <c r="G12" s="18">
        <v>1535.3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811.45</v>
      </c>
      <c r="H13" s="18">
        <f>3459.22+4544.91+36+26665.14+9101.31+0.4</f>
        <v>43806.979999999996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266567.05</v>
      </c>
      <c r="G19" s="41">
        <f>SUM(G9:G18)</f>
        <v>2346.75</v>
      </c>
      <c r="H19" s="41">
        <f>SUM(H9:H18)</f>
        <v>43806.979999999996</v>
      </c>
      <c r="I19" s="41">
        <f>SUM(I9:I18)</f>
        <v>1093.28</v>
      </c>
      <c r="J19" s="41">
        <f>SUM(J9:J18)</f>
        <v>310575.90999999997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3459.22+4545.31+36+26665.14+9101.31-1200</f>
        <v>42606.979999999996</v>
      </c>
      <c r="I22" s="18">
        <v>1093.1600000000001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27532.77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27532.77</v>
      </c>
      <c r="G32" s="41">
        <f>SUM(G22:G31)</f>
        <v>0</v>
      </c>
      <c r="H32" s="41">
        <f>SUM(H22:H31)</f>
        <v>42606.979999999996</v>
      </c>
      <c r="I32" s="41">
        <f>SUM(I22:I31)</f>
        <v>1093.1600000000001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f>G19</f>
        <v>2346.75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f>H19-H32</f>
        <v>1200</v>
      </c>
      <c r="I47" s="18">
        <f>I19-I32</f>
        <v>0.11999999999989086</v>
      </c>
      <c r="J47" s="13">
        <f>SUM(I458)</f>
        <v>310575.90999999997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46522.58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F19-F32-F44-F48</f>
        <v>162511.70000000001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239034.28000000003</v>
      </c>
      <c r="G50" s="41">
        <f>SUM(G35:G49)</f>
        <v>2346.75</v>
      </c>
      <c r="H50" s="41">
        <f>SUM(H35:H49)</f>
        <v>1200</v>
      </c>
      <c r="I50" s="41">
        <f>SUM(I35:I49)</f>
        <v>0.11999999999989086</v>
      </c>
      <c r="J50" s="41">
        <f>SUM(J35:J49)</f>
        <v>310575.90999999997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266567.05000000005</v>
      </c>
      <c r="G51" s="41">
        <f>G50+G32</f>
        <v>2346.75</v>
      </c>
      <c r="H51" s="41">
        <f>H50+H32</f>
        <v>43806.979999999996</v>
      </c>
      <c r="I51" s="41">
        <f>I50+I32</f>
        <v>1093.28</v>
      </c>
      <c r="J51" s="41">
        <f>J50+J32</f>
        <v>310575.90999999997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4644210-646511</f>
        <v>3997699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3997699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7833.3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7833.3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71.64+54.13</f>
        <v>125.77000000000001</v>
      </c>
      <c r="G95" s="18"/>
      <c r="H95" s="18"/>
      <c r="I95" s="18"/>
      <c r="J95" s="18">
        <v>1720.86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33534.9</f>
        <v>33534.9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886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12122.63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13134.4</v>
      </c>
      <c r="G110" s="41">
        <f>SUM(G95:G109)</f>
        <v>33534.9</v>
      </c>
      <c r="H110" s="41">
        <f>SUM(H95:H109)</f>
        <v>0</v>
      </c>
      <c r="I110" s="41">
        <f>SUM(I95:I109)</f>
        <v>0</v>
      </c>
      <c r="J110" s="41">
        <f>SUM(J95:J109)</f>
        <v>1720.86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4018666.6999999997</v>
      </c>
      <c r="G111" s="41">
        <f>G59+G110</f>
        <v>33534.9</v>
      </c>
      <c r="H111" s="41">
        <f>H59+H78+H93+H110</f>
        <v>0</v>
      </c>
      <c r="I111" s="41">
        <f>I59+I110</f>
        <v>0</v>
      </c>
      <c r="J111" s="41">
        <f>J59+J110</f>
        <v>1720.86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794931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645822.84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688.16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1441441.9999999998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31502.34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640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31502.34</v>
      </c>
      <c r="G135" s="41">
        <f>SUM(G122:G134)</f>
        <v>640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1472944.3399999999</v>
      </c>
      <c r="G139" s="41">
        <f>G120+SUM(G135:G136)</f>
        <v>640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44106.96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29106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30744.61+4544.91+1327+36</f>
        <v>36652.520000000004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11229.2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50222.57+1840+346.62</f>
        <v>52409.19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26441.45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>
        <v>312872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26441.45</v>
      </c>
      <c r="G161" s="41">
        <f>SUM(G149:G160)</f>
        <v>11229.2</v>
      </c>
      <c r="H161" s="41">
        <f>SUM(H149:H160)</f>
        <v>162274.66999999998</v>
      </c>
      <c r="I161" s="41">
        <f>SUM(I149:I160)</f>
        <v>312872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26441.45</v>
      </c>
      <c r="G168" s="41">
        <f>G146+G161+SUM(G162:G167)</f>
        <v>11229.2</v>
      </c>
      <c r="H168" s="41">
        <f>H146+H161+SUM(H162:H167)</f>
        <v>162274.66999999998</v>
      </c>
      <c r="I168" s="41">
        <f>I146+I161+SUM(I162:I167)</f>
        <v>312872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22146.94</v>
      </c>
      <c r="H178" s="18"/>
      <c r="I178" s="18"/>
      <c r="J178" s="18">
        <v>55000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22146.94</v>
      </c>
      <c r="H182" s="41">
        <f>SUM(H178:H181)</f>
        <v>0</v>
      </c>
      <c r="I182" s="41">
        <f>SUM(I178:I181)</f>
        <v>0</v>
      </c>
      <c r="J182" s="41">
        <f>SUM(J178:J181)</f>
        <v>55000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60000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60000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60000</v>
      </c>
      <c r="G191" s="41">
        <f>G182+SUM(G187:G190)</f>
        <v>22146.94</v>
      </c>
      <c r="H191" s="41">
        <f>+H182+SUM(H187:H190)</f>
        <v>0</v>
      </c>
      <c r="I191" s="41">
        <f>I176+I182+SUM(I187:I190)</f>
        <v>0</v>
      </c>
      <c r="J191" s="41">
        <f>J182</f>
        <v>55000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5578052.4899999993</v>
      </c>
      <c r="G192" s="47">
        <f>G111+G139+G168+G191</f>
        <v>67551.040000000008</v>
      </c>
      <c r="H192" s="47">
        <f>H111+H139+H168+H191</f>
        <v>162274.66999999998</v>
      </c>
      <c r="I192" s="47">
        <f>I111+I139+I168+I191</f>
        <v>312872</v>
      </c>
      <c r="J192" s="47">
        <f>J111+J139+J191</f>
        <v>56720.86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1196220.94</v>
      </c>
      <c r="G196" s="18">
        <v>422020.19</v>
      </c>
      <c r="H196" s="18">
        <f>8001.21+434</f>
        <v>8435.2099999999991</v>
      </c>
      <c r="I196" s="18">
        <f>49642.04+1795.49</f>
        <v>51437.53</v>
      </c>
      <c r="J196" s="18">
        <v>15605.86</v>
      </c>
      <c r="K196" s="18">
        <v>7403.5</v>
      </c>
      <c r="L196" s="19">
        <f>SUM(F196:K196)</f>
        <v>1701123.23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506663.1</v>
      </c>
      <c r="G197" s="18">
        <v>254067.44</v>
      </c>
      <c r="H197" s="18">
        <v>84394.83</v>
      </c>
      <c r="I197" s="18">
        <v>1703.96</v>
      </c>
      <c r="J197" s="18">
        <v>1538.53</v>
      </c>
      <c r="K197" s="18">
        <v>229</v>
      </c>
      <c r="L197" s="19">
        <f>SUM(F197:K197)</f>
        <v>848596.86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>
        <v>0</v>
      </c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22801.16</v>
      </c>
      <c r="G199" s="18">
        <v>2621.91</v>
      </c>
      <c r="H199" s="18"/>
      <c r="I199" s="18">
        <v>5515.45</v>
      </c>
      <c r="J199" s="18"/>
      <c r="K199" s="18">
        <v>1543.25</v>
      </c>
      <c r="L199" s="19">
        <f>SUM(F199:K199)</f>
        <v>32481.77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60591.45+67331</f>
        <v>127922.45</v>
      </c>
      <c r="G201" s="18">
        <f>33095.28+6.8+32927.77</f>
        <v>66029.850000000006</v>
      </c>
      <c r="H201" s="18">
        <f>2637.5+57687.76</f>
        <v>60325.26</v>
      </c>
      <c r="I201" s="18">
        <f>1621.59+857.72+1469.05</f>
        <v>3948.3599999999997</v>
      </c>
      <c r="J201" s="18">
        <v>8456.39</v>
      </c>
      <c r="K201" s="18">
        <v>115</v>
      </c>
      <c r="L201" s="19">
        <f t="shared" ref="L201:L207" si="0">SUM(F201:K201)</f>
        <v>266797.31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16825.28+22656.45</f>
        <v>39481.729999999996</v>
      </c>
      <c r="G202" s="18">
        <f>2518.55+34227.6</f>
        <v>36746.15</v>
      </c>
      <c r="H202" s="18">
        <f>25781.78+1268</f>
        <v>27049.78</v>
      </c>
      <c r="I202" s="18">
        <f>3390.37+5803.61</f>
        <v>9193.98</v>
      </c>
      <c r="J202" s="18">
        <v>1371.75</v>
      </c>
      <c r="K202" s="18"/>
      <c r="L202" s="19">
        <f t="shared" si="0"/>
        <v>113843.39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3112+116413.39</f>
        <v>119525.39</v>
      </c>
      <c r="G203" s="18">
        <v>23838.61</v>
      </c>
      <c r="H203" s="18">
        <f>18975.53+7847.1</f>
        <v>26822.629999999997</v>
      </c>
      <c r="I203" s="18">
        <v>0</v>
      </c>
      <c r="J203" s="18">
        <f>3969.82</f>
        <v>3969.82</v>
      </c>
      <c r="K203" s="18">
        <f>4148.93+4174.2-35.23</f>
        <v>8287.9000000000015</v>
      </c>
      <c r="L203" s="19">
        <f t="shared" si="0"/>
        <v>182444.35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151890.79</v>
      </c>
      <c r="G204" s="18">
        <f>63303.53+61775.63</f>
        <v>125079.16</v>
      </c>
      <c r="H204" s="18">
        <f>16421.81-15.14</f>
        <v>16406.670000000002</v>
      </c>
      <c r="I204" s="18">
        <v>732.1</v>
      </c>
      <c r="J204" s="18">
        <v>639.97</v>
      </c>
      <c r="K204" s="18">
        <v>2341</v>
      </c>
      <c r="L204" s="19">
        <f t="shared" si="0"/>
        <v>297089.68999999994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95916</v>
      </c>
      <c r="G206" s="18">
        <v>47519.05</v>
      </c>
      <c r="H206" s="18">
        <v>87205.81</v>
      </c>
      <c r="I206" s="18">
        <f>80723.9-5704.58</f>
        <v>75019.319999999992</v>
      </c>
      <c r="J206" s="18">
        <v>4843.46</v>
      </c>
      <c r="K206" s="18">
        <v>450</v>
      </c>
      <c r="L206" s="19">
        <f t="shared" si="0"/>
        <v>310953.64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5509.31</v>
      </c>
      <c r="G207" s="18">
        <f>36.4+392.93</f>
        <v>429.33</v>
      </c>
      <c r="H207" s="18">
        <v>175806.18</v>
      </c>
      <c r="I207" s="18"/>
      <c r="J207" s="18"/>
      <c r="K207" s="18"/>
      <c r="L207" s="19">
        <f t="shared" si="0"/>
        <v>181744.82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2265930.8699999996</v>
      </c>
      <c r="G210" s="41">
        <f t="shared" si="1"/>
        <v>978351.69000000006</v>
      </c>
      <c r="H210" s="41">
        <f t="shared" si="1"/>
        <v>486446.37000000005</v>
      </c>
      <c r="I210" s="41">
        <f t="shared" si="1"/>
        <v>147550.70000000001</v>
      </c>
      <c r="J210" s="41">
        <f t="shared" si="1"/>
        <v>36425.78</v>
      </c>
      <c r="K210" s="41">
        <f t="shared" si="1"/>
        <v>20369.650000000001</v>
      </c>
      <c r="L210" s="41">
        <f t="shared" si="1"/>
        <v>3935075.06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 t="s">
        <v>287</v>
      </c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>
        <v>0</v>
      </c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1329907.08</v>
      </c>
      <c r="I232" s="18"/>
      <c r="J232" s="18"/>
      <c r="K232" s="18"/>
      <c r="L232" s="19">
        <f>SUM(F232:K232)</f>
        <v>1329907.08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10425</v>
      </c>
      <c r="G233" s="18">
        <v>452.72</v>
      </c>
      <c r="H233" s="18"/>
      <c r="I233" s="18"/>
      <c r="J233" s="18"/>
      <c r="K233" s="18"/>
      <c r="L233" s="19">
        <f>SUM(F233:K233)</f>
        <v>10877.72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>
        <v>0</v>
      </c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10425</v>
      </c>
      <c r="G246" s="41">
        <f t="shared" si="5"/>
        <v>452.72</v>
      </c>
      <c r="H246" s="41">
        <f t="shared" si="5"/>
        <v>1329907.08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1340784.8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2276355.8699999996</v>
      </c>
      <c r="G256" s="41">
        <f t="shared" si="8"/>
        <v>978804.41</v>
      </c>
      <c r="H256" s="41">
        <f t="shared" si="8"/>
        <v>1816353.4500000002</v>
      </c>
      <c r="I256" s="41">
        <f t="shared" si="8"/>
        <v>147550.70000000001</v>
      </c>
      <c r="J256" s="41">
        <f t="shared" si="8"/>
        <v>36425.78</v>
      </c>
      <c r="K256" s="41">
        <f t="shared" si="8"/>
        <v>20369.650000000001</v>
      </c>
      <c r="L256" s="41">
        <f t="shared" si="8"/>
        <v>5275859.8600000003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94800</v>
      </c>
      <c r="L259" s="19">
        <f>SUM(F259:K259)</f>
        <v>94800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16223.93</v>
      </c>
      <c r="L260" s="19">
        <f>SUM(F260:K260)</f>
        <v>16223.93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22146.94</v>
      </c>
      <c r="L262" s="19">
        <f>SUM(F262:K262)</f>
        <v>22146.94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55000</v>
      </c>
      <c r="L265" s="19">
        <f t="shared" si="9"/>
        <v>55000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188170.87</v>
      </c>
      <c r="L269" s="41">
        <f t="shared" si="9"/>
        <v>188170.87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2276355.8699999996</v>
      </c>
      <c r="G270" s="42">
        <f t="shared" si="11"/>
        <v>978804.41</v>
      </c>
      <c r="H270" s="42">
        <f t="shared" si="11"/>
        <v>1816353.4500000002</v>
      </c>
      <c r="I270" s="42">
        <f t="shared" si="11"/>
        <v>147550.70000000001</v>
      </c>
      <c r="J270" s="42">
        <f t="shared" si="11"/>
        <v>36425.78</v>
      </c>
      <c r="K270" s="42">
        <f t="shared" si="11"/>
        <v>208540.52</v>
      </c>
      <c r="L270" s="42">
        <f t="shared" si="11"/>
        <v>5464030.7300000004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18686+17759</f>
        <v>36445</v>
      </c>
      <c r="G275" s="18">
        <v>10120</v>
      </c>
      <c r="H275" s="18">
        <f>4084.91</f>
        <v>4084.91</v>
      </c>
      <c r="I275" s="18">
        <v>6891</v>
      </c>
      <c r="J275" s="18">
        <f>12909+1448.96</f>
        <v>14357.96</v>
      </c>
      <c r="K275" s="18">
        <v>0</v>
      </c>
      <c r="L275" s="19">
        <f>SUM(F275:K275)</f>
        <v>71898.87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12641+1840</f>
        <v>14481</v>
      </c>
      <c r="G276" s="18">
        <v>0</v>
      </c>
      <c r="H276" s="18">
        <f>300+36380.07+346.62</f>
        <v>37026.69</v>
      </c>
      <c r="I276" s="18">
        <v>351.5</v>
      </c>
      <c r="J276" s="18">
        <v>250</v>
      </c>
      <c r="K276" s="18">
        <v>36</v>
      </c>
      <c r="L276" s="19">
        <f>SUM(F276:K276)</f>
        <v>52145.19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>
        <v>0</v>
      </c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460+30000.01</f>
        <v>30460.01</v>
      </c>
      <c r="G281" s="18">
        <v>744.6</v>
      </c>
      <c r="H281" s="18">
        <f>1077+5099+850</f>
        <v>7026</v>
      </c>
      <c r="I281" s="18"/>
      <c r="J281" s="18"/>
      <c r="K281" s="18"/>
      <c r="L281" s="19">
        <f t="shared" si="12"/>
        <v>38230.61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81386.009999999995</v>
      </c>
      <c r="G289" s="42">
        <f t="shared" si="13"/>
        <v>10864.6</v>
      </c>
      <c r="H289" s="42">
        <f t="shared" si="13"/>
        <v>48137.600000000006</v>
      </c>
      <c r="I289" s="42">
        <f t="shared" si="13"/>
        <v>7242.5</v>
      </c>
      <c r="J289" s="42">
        <f t="shared" si="13"/>
        <v>14607.96</v>
      </c>
      <c r="K289" s="42">
        <f t="shared" si="13"/>
        <v>36</v>
      </c>
      <c r="L289" s="41">
        <f t="shared" si="13"/>
        <v>162274.66999999998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81386.009999999995</v>
      </c>
      <c r="G337" s="41">
        <f t="shared" si="20"/>
        <v>10864.6</v>
      </c>
      <c r="H337" s="41">
        <f t="shared" si="20"/>
        <v>48137.600000000006</v>
      </c>
      <c r="I337" s="41">
        <f t="shared" si="20"/>
        <v>7242.5</v>
      </c>
      <c r="J337" s="41">
        <f t="shared" si="20"/>
        <v>14607.96</v>
      </c>
      <c r="K337" s="41">
        <f t="shared" si="20"/>
        <v>36</v>
      </c>
      <c r="L337" s="41">
        <f t="shared" si="20"/>
        <v>162274.66999999998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81386.009999999995</v>
      </c>
      <c r="G351" s="41">
        <f>G337</f>
        <v>10864.6</v>
      </c>
      <c r="H351" s="41">
        <f>H337</f>
        <v>48137.600000000006</v>
      </c>
      <c r="I351" s="41">
        <f>I337</f>
        <v>7242.5</v>
      </c>
      <c r="J351" s="41">
        <f>J337</f>
        <v>14607.96</v>
      </c>
      <c r="K351" s="47">
        <f>K337+K350</f>
        <v>36</v>
      </c>
      <c r="L351" s="41">
        <f>L337+L350</f>
        <v>162274.66999999998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7893.18</v>
      </c>
      <c r="G357" s="18">
        <v>546.23</v>
      </c>
      <c r="H357" s="18">
        <f>49400.44+90.75+4000</f>
        <v>53491.19</v>
      </c>
      <c r="I357" s="18">
        <v>4808.99</v>
      </c>
      <c r="J357" s="18"/>
      <c r="K357" s="18"/>
      <c r="L357" s="13">
        <f>SUM(F357:K357)</f>
        <v>66739.590000000011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7893.18</v>
      </c>
      <c r="G361" s="47">
        <f t="shared" si="22"/>
        <v>546.23</v>
      </c>
      <c r="H361" s="47">
        <f t="shared" si="22"/>
        <v>53491.19</v>
      </c>
      <c r="I361" s="47">
        <f t="shared" si="22"/>
        <v>4808.99</v>
      </c>
      <c r="J361" s="47">
        <f t="shared" si="22"/>
        <v>0</v>
      </c>
      <c r="K361" s="47">
        <f t="shared" si="22"/>
        <v>0</v>
      </c>
      <c r="L361" s="47">
        <f t="shared" si="22"/>
        <v>66739.590000000011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4808.99</v>
      </c>
      <c r="G367" s="63"/>
      <c r="H367" s="63"/>
      <c r="I367" s="56">
        <f>SUM(F367:H367)</f>
        <v>4808.99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4808.99</v>
      </c>
      <c r="G368" s="47">
        <f>SUM(G366:G367)</f>
        <v>0</v>
      </c>
      <c r="H368" s="47">
        <f>SUM(H366:H367)</f>
        <v>0</v>
      </c>
      <c r="I368" s="47">
        <f>SUM(I366:I367)</f>
        <v>4808.99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f>228050.62+2175</f>
        <v>230225.62</v>
      </c>
      <c r="I377" s="18">
        <v>82646.38</v>
      </c>
      <c r="J377" s="18"/>
      <c r="K377" s="18"/>
      <c r="L377" s="13">
        <f t="shared" si="23"/>
        <v>312872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230225.62</v>
      </c>
      <c r="I381" s="41">
        <f t="shared" si="24"/>
        <v>82646.38</v>
      </c>
      <c r="J381" s="47">
        <f t="shared" si="24"/>
        <v>0</v>
      </c>
      <c r="K381" s="47">
        <f t="shared" si="24"/>
        <v>0</v>
      </c>
      <c r="L381" s="47">
        <f t="shared" si="24"/>
        <v>312872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>
        <v>55000</v>
      </c>
      <c r="H387" s="18">
        <v>408.4</v>
      </c>
      <c r="I387" s="18"/>
      <c r="J387" s="24" t="s">
        <v>289</v>
      </c>
      <c r="K387" s="24" t="s">
        <v>289</v>
      </c>
      <c r="L387" s="56">
        <f t="shared" si="25"/>
        <v>55408.4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55000</v>
      </c>
      <c r="H392" s="139">
        <f>SUM(H386:H391)</f>
        <v>408.4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55408.4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0</v>
      </c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1097.3399999999999</v>
      </c>
      <c r="I396" s="18"/>
      <c r="J396" s="24" t="s">
        <v>289</v>
      </c>
      <c r="K396" s="24" t="s">
        <v>289</v>
      </c>
      <c r="L396" s="56">
        <f t="shared" si="26"/>
        <v>1097.3399999999999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215.12</v>
      </c>
      <c r="I399" s="18"/>
      <c r="J399" s="24" t="s">
        <v>289</v>
      </c>
      <c r="K399" s="24" t="s">
        <v>289</v>
      </c>
      <c r="L399" s="56">
        <f t="shared" si="26"/>
        <v>215.12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1312.46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1312.46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55000</v>
      </c>
      <c r="H407" s="47">
        <f>H392+H400+H406</f>
        <v>1720.8600000000001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56720.86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 t="s">
        <v>287</v>
      </c>
      <c r="I422" s="18"/>
      <c r="J422" s="18"/>
      <c r="K422" s="18">
        <v>60000</v>
      </c>
      <c r="L422" s="56">
        <f t="shared" si="29"/>
        <v>60000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60000</v>
      </c>
      <c r="L426" s="47">
        <f t="shared" si="30"/>
        <v>60000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60000</v>
      </c>
      <c r="L433" s="47">
        <f t="shared" si="32"/>
        <v>60000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109369.05</f>
        <v>109369.05</v>
      </c>
      <c r="G439" s="18">
        <f>49466.56+151740.3</f>
        <v>201206.86</v>
      </c>
      <c r="H439" s="18"/>
      <c r="I439" s="56">
        <f t="shared" si="33"/>
        <v>310575.90999999997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109369.05</v>
      </c>
      <c r="G445" s="13">
        <f>SUM(G438:G444)</f>
        <v>201206.86</v>
      </c>
      <c r="H445" s="13">
        <f>SUM(H438:H444)</f>
        <v>0</v>
      </c>
      <c r="I445" s="13">
        <f>SUM(I438:I444)</f>
        <v>310575.90999999997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109369.05</v>
      </c>
      <c r="G458" s="18">
        <f>151740.3+49466.56</f>
        <v>201206.86</v>
      </c>
      <c r="H458" s="18"/>
      <c r="I458" s="56">
        <f t="shared" si="34"/>
        <v>310575.90999999997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109369.05</v>
      </c>
      <c r="G459" s="83">
        <f>SUM(G453:G458)</f>
        <v>201206.86</v>
      </c>
      <c r="H459" s="83">
        <f>SUM(H453:H458)</f>
        <v>0</v>
      </c>
      <c r="I459" s="83">
        <f>SUM(I453:I458)</f>
        <v>310575.90999999997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109369.05</v>
      </c>
      <c r="G460" s="42">
        <f>G451+G459</f>
        <v>201206.86</v>
      </c>
      <c r="H460" s="42">
        <f>H451+H459</f>
        <v>0</v>
      </c>
      <c r="I460" s="42">
        <f>I451+I459</f>
        <v>310575.90999999997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125012.52</v>
      </c>
      <c r="G464" s="18">
        <v>1535.3</v>
      </c>
      <c r="H464" s="18">
        <v>1200</v>
      </c>
      <c r="I464" s="18">
        <v>0.12</v>
      </c>
      <c r="J464" s="18">
        <v>313855.05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5578052.4899999993</v>
      </c>
      <c r="G467" s="18">
        <f>G192</f>
        <v>67551.040000000008</v>
      </c>
      <c r="H467" s="18">
        <f>H192</f>
        <v>162274.66999999998</v>
      </c>
      <c r="I467" s="18">
        <f>I192</f>
        <v>312872</v>
      </c>
      <c r="J467" s="18">
        <f>L407</f>
        <v>56720.86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5578052.4899999993</v>
      </c>
      <c r="G469" s="53">
        <f>SUM(G467:G468)</f>
        <v>67551.040000000008</v>
      </c>
      <c r="H469" s="53">
        <f>SUM(H467:H468)</f>
        <v>162274.66999999998</v>
      </c>
      <c r="I469" s="53">
        <f>SUM(I467:I468)</f>
        <v>312872</v>
      </c>
      <c r="J469" s="53">
        <f>SUM(J467:J468)</f>
        <v>56720.86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5464030.7300000004</v>
      </c>
      <c r="G471" s="18">
        <f>L361</f>
        <v>66739.590000000011</v>
      </c>
      <c r="H471" s="18">
        <f>L351</f>
        <v>162274.66999999998</v>
      </c>
      <c r="I471" s="18">
        <f>L381</f>
        <v>312872</v>
      </c>
      <c r="J471" s="18">
        <f>L433</f>
        <v>60000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5464030.7300000004</v>
      </c>
      <c r="G473" s="53">
        <f>SUM(G471:G472)</f>
        <v>66739.590000000011</v>
      </c>
      <c r="H473" s="53">
        <f>SUM(H471:H472)</f>
        <v>162274.66999999998</v>
      </c>
      <c r="I473" s="53">
        <f>SUM(I471:I472)</f>
        <v>312872</v>
      </c>
      <c r="J473" s="53">
        <f>SUM(J471:J472)</f>
        <v>60000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239034.2799999984</v>
      </c>
      <c r="G475" s="53">
        <f>(G464+G469)- G473</f>
        <v>2346.75</v>
      </c>
      <c r="H475" s="53">
        <f>(H464+H469)- H473</f>
        <v>1200</v>
      </c>
      <c r="I475" s="53">
        <f>(I464+I469)- I473</f>
        <v>0.11999999999534339</v>
      </c>
      <c r="J475" s="53">
        <f>(J464+J469)- J473</f>
        <v>310575.90999999997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>
        <v>10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300000</v>
      </c>
      <c r="G492" s="18">
        <v>330000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4.08</v>
      </c>
      <c r="G493" s="18">
        <v>3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120000</v>
      </c>
      <c r="G494" s="18">
        <v>330000</v>
      </c>
      <c r="H494" s="18"/>
      <c r="I494" s="18"/>
      <c r="J494" s="18"/>
      <c r="K494" s="53">
        <f>SUM(F494:J494)</f>
        <v>450000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60000</v>
      </c>
      <c r="G496" s="18">
        <v>35000</v>
      </c>
      <c r="H496" s="18"/>
      <c r="I496" s="18"/>
      <c r="J496" s="18"/>
      <c r="K496" s="53">
        <f t="shared" si="35"/>
        <v>95000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60000</v>
      </c>
      <c r="G497" s="205">
        <f>G494-G496</f>
        <v>295000</v>
      </c>
      <c r="H497" s="205"/>
      <c r="I497" s="205"/>
      <c r="J497" s="205"/>
      <c r="K497" s="206">
        <f t="shared" si="35"/>
        <v>355000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1275</v>
      </c>
      <c r="G498" s="18">
        <v>42750</v>
      </c>
      <c r="H498" s="18"/>
      <c r="I498" s="18"/>
      <c r="J498" s="18"/>
      <c r="K498" s="53">
        <f t="shared" si="35"/>
        <v>44025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61275</v>
      </c>
      <c r="G499" s="42">
        <f>SUM(G497:G498)</f>
        <v>337750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399025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60000</v>
      </c>
      <c r="G500" s="205">
        <v>35000</v>
      </c>
      <c r="H500" s="205"/>
      <c r="I500" s="205"/>
      <c r="J500" s="205"/>
      <c r="K500" s="206">
        <f t="shared" si="35"/>
        <v>95000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1275</v>
      </c>
      <c r="G501" s="18">
        <f>4425+4425</f>
        <v>8850</v>
      </c>
      <c r="H501" s="18"/>
      <c r="I501" s="18"/>
      <c r="J501" s="18"/>
      <c r="K501" s="53">
        <f t="shared" si="35"/>
        <v>10125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61275</v>
      </c>
      <c r="G502" s="42">
        <f>SUM(G500:G501)</f>
        <v>43850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105125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521144.1</v>
      </c>
      <c r="G520" s="18">
        <v>254067.44</v>
      </c>
      <c r="H520" s="18">
        <v>58192.11</v>
      </c>
      <c r="I520" s="18">
        <v>2055.46</v>
      </c>
      <c r="J520" s="18">
        <v>1788.53</v>
      </c>
      <c r="K520" s="18">
        <v>265</v>
      </c>
      <c r="L520" s="88">
        <f>SUM(F520:K520)</f>
        <v>837512.64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10425</v>
      </c>
      <c r="G522" s="18">
        <v>452.72</v>
      </c>
      <c r="H522" s="18"/>
      <c r="I522" s="18"/>
      <c r="J522" s="18"/>
      <c r="K522" s="18"/>
      <c r="L522" s="88">
        <f>SUM(F522:K522)</f>
        <v>10877.72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531569.1</v>
      </c>
      <c r="G523" s="108">
        <f t="shared" ref="G523:L523" si="36">SUM(G520:G522)</f>
        <v>254520.16</v>
      </c>
      <c r="H523" s="108">
        <f t="shared" si="36"/>
        <v>58192.11</v>
      </c>
      <c r="I523" s="108">
        <f t="shared" si="36"/>
        <v>2055.46</v>
      </c>
      <c r="J523" s="108">
        <f t="shared" si="36"/>
        <v>1788.53</v>
      </c>
      <c r="K523" s="108">
        <f t="shared" si="36"/>
        <v>265</v>
      </c>
      <c r="L523" s="89">
        <f t="shared" si="36"/>
        <v>848390.36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63229.41</v>
      </c>
      <c r="I525" s="18"/>
      <c r="J525" s="18"/>
      <c r="K525" s="18"/>
      <c r="L525" s="88">
        <f>SUM(F525:K525)</f>
        <v>63229.41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63229.41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63229.41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23671.89</v>
      </c>
      <c r="G530" s="18">
        <v>2469.04</v>
      </c>
      <c r="H530" s="18"/>
      <c r="I530" s="18"/>
      <c r="J530" s="18"/>
      <c r="K530" s="18"/>
      <c r="L530" s="88">
        <f>SUM(F530:K530)</f>
        <v>26140.93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23671.89</v>
      </c>
      <c r="G533" s="89">
        <f t="shared" ref="G533:L533" si="38">SUM(G530:G532)</f>
        <v>2469.04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26140.93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6324.66</v>
      </c>
      <c r="I540" s="18"/>
      <c r="J540" s="18"/>
      <c r="K540" s="18"/>
      <c r="L540" s="88">
        <f>SUM(F540:K540)</f>
        <v>6324.66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6324.66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6324.66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555240.99</v>
      </c>
      <c r="G544" s="89">
        <f t="shared" ref="G544:L544" si="41">G523+G528+G533+G538+G543</f>
        <v>256989.2</v>
      </c>
      <c r="H544" s="89">
        <f t="shared" si="41"/>
        <v>127746.18000000001</v>
      </c>
      <c r="I544" s="89">
        <f t="shared" si="41"/>
        <v>2055.46</v>
      </c>
      <c r="J544" s="89">
        <f t="shared" si="41"/>
        <v>1788.53</v>
      </c>
      <c r="K544" s="89">
        <f t="shared" si="41"/>
        <v>265</v>
      </c>
      <c r="L544" s="89">
        <f t="shared" si="41"/>
        <v>944085.3600000001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837512.64</v>
      </c>
      <c r="G548" s="87">
        <f>L525</f>
        <v>63229.41</v>
      </c>
      <c r="H548" s="87">
        <f>L530</f>
        <v>26140.93</v>
      </c>
      <c r="I548" s="87">
        <f>L535</f>
        <v>0</v>
      </c>
      <c r="J548" s="87">
        <f>L540</f>
        <v>6324.66</v>
      </c>
      <c r="K548" s="87">
        <f>SUM(F548:J548)</f>
        <v>933207.64000000013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10877.72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10877.72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848390.36</v>
      </c>
      <c r="G551" s="89">
        <f t="shared" si="42"/>
        <v>63229.41</v>
      </c>
      <c r="H551" s="89">
        <f t="shared" si="42"/>
        <v>26140.93</v>
      </c>
      <c r="I551" s="89">
        <f t="shared" si="42"/>
        <v>0</v>
      </c>
      <c r="J551" s="89">
        <f t="shared" si="42"/>
        <v>6324.66</v>
      </c>
      <c r="K551" s="89">
        <f t="shared" si="42"/>
        <v>944085.3600000001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f>H232</f>
        <v>1329907.08</v>
      </c>
      <c r="I574" s="87">
        <f>SUM(F574:H574)</f>
        <v>1329907.08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2535</v>
      </c>
      <c r="G581" s="18"/>
      <c r="H581" s="18"/>
      <c r="I581" s="87">
        <f t="shared" si="47"/>
        <v>2535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166330.18</v>
      </c>
      <c r="I590" s="18"/>
      <c r="J590" s="18"/>
      <c r="K590" s="104">
        <f t="shared" ref="K590:K596" si="48">SUM(H590:J590)</f>
        <v>166330.18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6324.66</v>
      </c>
      <c r="I591" s="18"/>
      <c r="J591" s="18"/>
      <c r="K591" s="104">
        <f t="shared" si="48"/>
        <v>6324.66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2738.41</v>
      </c>
      <c r="I593" s="18"/>
      <c r="J593" s="18"/>
      <c r="K593" s="104">
        <f t="shared" si="48"/>
        <v>2738.41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6351.57</v>
      </c>
      <c r="I594" s="18"/>
      <c r="J594" s="18"/>
      <c r="K594" s="104">
        <f t="shared" si="48"/>
        <v>6351.57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181744.82</v>
      </c>
      <c r="I597" s="108">
        <f>SUM(I590:I596)</f>
        <v>0</v>
      </c>
      <c r="J597" s="108">
        <f>SUM(J590:J596)</f>
        <v>0</v>
      </c>
      <c r="K597" s="108">
        <f>SUM(K590:K596)</f>
        <v>181744.82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51033.74</v>
      </c>
      <c r="I603" s="18"/>
      <c r="J603" s="18"/>
      <c r="K603" s="104">
        <f>SUM(H603:J603)</f>
        <v>51033.74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51033.74</v>
      </c>
      <c r="I604" s="108">
        <f>SUM(I601:I603)</f>
        <v>0</v>
      </c>
      <c r="J604" s="108">
        <f>SUM(J601:J603)</f>
        <v>0</v>
      </c>
      <c r="K604" s="108">
        <f>SUM(K601:K603)</f>
        <v>51033.74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266567.05</v>
      </c>
      <c r="H616" s="109">
        <f>SUM(F51)</f>
        <v>266567.05000000005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2346.75</v>
      </c>
      <c r="H617" s="109">
        <f>SUM(G51)</f>
        <v>2346.75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43806.979999999996</v>
      </c>
      <c r="H618" s="109">
        <f>SUM(H51)</f>
        <v>43806.979999999996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1093.28</v>
      </c>
      <c r="H619" s="109">
        <f>SUM(I51)</f>
        <v>1093.28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310575.90999999997</v>
      </c>
      <c r="H620" s="109">
        <f>SUM(J51)</f>
        <v>310575.90999999997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239034.28000000003</v>
      </c>
      <c r="H621" s="109">
        <f>F475</f>
        <v>239034.2799999984</v>
      </c>
      <c r="I621" s="121" t="s">
        <v>101</v>
      </c>
      <c r="J621" s="109">
        <f t="shared" ref="J621:J654" si="50">G621-H621</f>
        <v>1.6298145055770874E-9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2346.75</v>
      </c>
      <c r="H622" s="109">
        <f>G475</f>
        <v>2346.75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1200</v>
      </c>
      <c r="H623" s="109">
        <f>H475</f>
        <v>1200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0.11999999999989086</v>
      </c>
      <c r="H624" s="109">
        <f>I475</f>
        <v>0.11999999999534339</v>
      </c>
      <c r="I624" s="121" t="s">
        <v>104</v>
      </c>
      <c r="J624" s="109">
        <f t="shared" si="50"/>
        <v>4.5474735088646412E-12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310575.90999999997</v>
      </c>
      <c r="H625" s="109">
        <f>J475</f>
        <v>310575.90999999997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5578052.4899999993</v>
      </c>
      <c r="H626" s="104">
        <f>SUM(F467)</f>
        <v>5578052.4899999993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67551.040000000008</v>
      </c>
      <c r="H627" s="104">
        <f>SUM(G467)</f>
        <v>67551.040000000008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162274.66999999998</v>
      </c>
      <c r="H628" s="104">
        <f>SUM(H467)</f>
        <v>162274.66999999998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312872</v>
      </c>
      <c r="H629" s="104">
        <f>SUM(I467)</f>
        <v>312872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56720.86</v>
      </c>
      <c r="H630" s="104">
        <f>SUM(J467)</f>
        <v>56720.86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5464030.7300000004</v>
      </c>
      <c r="H631" s="104">
        <f>SUM(F471)</f>
        <v>5464030.7300000004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162274.66999999998</v>
      </c>
      <c r="H632" s="104">
        <f>SUM(H471)</f>
        <v>162274.66999999998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4808.99</v>
      </c>
      <c r="H633" s="104">
        <f>I368</f>
        <v>4808.99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66739.590000000011</v>
      </c>
      <c r="H634" s="104">
        <f>SUM(G471)</f>
        <v>66739.590000000011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312872</v>
      </c>
      <c r="H635" s="104">
        <f>SUM(I471)</f>
        <v>312872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56720.86</v>
      </c>
      <c r="H636" s="164">
        <f>SUM(J467)</f>
        <v>56720.86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60000</v>
      </c>
      <c r="H637" s="164">
        <f>SUM(J471)</f>
        <v>60000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109369.05</v>
      </c>
      <c r="H638" s="104">
        <f>SUM(F460)</f>
        <v>109369.05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201206.86</v>
      </c>
      <c r="H639" s="104">
        <f>SUM(G460)</f>
        <v>201206.86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310575.90999999997</v>
      </c>
      <c r="H641" s="104">
        <f>SUM(I460)</f>
        <v>310575.90999999997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1720.86</v>
      </c>
      <c r="H643" s="104">
        <f>H407</f>
        <v>1720.8600000000001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55000</v>
      </c>
      <c r="H644" s="104">
        <f>G407</f>
        <v>55000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56720.86</v>
      </c>
      <c r="H645" s="104">
        <f>L407</f>
        <v>56720.86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181744.82</v>
      </c>
      <c r="H646" s="104">
        <f>L207+L225+L243</f>
        <v>181744.82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51033.74</v>
      </c>
      <c r="H647" s="104">
        <f>(J256+J337)-(J254+J335)</f>
        <v>51033.74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181744.82</v>
      </c>
      <c r="H648" s="104">
        <f>H597</f>
        <v>181744.82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22146.94</v>
      </c>
      <c r="H651" s="104">
        <f>K262+K344</f>
        <v>22146.94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55000</v>
      </c>
      <c r="H654" s="104">
        <f>K265+K346</f>
        <v>55000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4164089.32</v>
      </c>
      <c r="G659" s="19">
        <f>(L228+L308+L358)</f>
        <v>0</v>
      </c>
      <c r="H659" s="19">
        <f>(L246+L327+L359)</f>
        <v>1340784.8</v>
      </c>
      <c r="I659" s="19">
        <f>SUM(F659:H659)</f>
        <v>5504874.1200000001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33534.9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33534.9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181744.82</v>
      </c>
      <c r="G661" s="19">
        <f>(L225+L305)-(J225+J305)</f>
        <v>0</v>
      </c>
      <c r="H661" s="19">
        <f>(L243+L324)-(J243+J324)</f>
        <v>0</v>
      </c>
      <c r="I661" s="19">
        <f>SUM(F661:H661)</f>
        <v>181744.82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53568.74</v>
      </c>
      <c r="G662" s="200">
        <f>SUM(G574:G586)+SUM(I601:I603)+L611</f>
        <v>0</v>
      </c>
      <c r="H662" s="200">
        <f>SUM(H574:H586)+SUM(J601:J603)+L612</f>
        <v>1329907.08</v>
      </c>
      <c r="I662" s="19">
        <f>SUM(F662:H662)</f>
        <v>1383475.82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3895240.86</v>
      </c>
      <c r="G663" s="19">
        <f>G659-SUM(G660:G662)</f>
        <v>0</v>
      </c>
      <c r="H663" s="19">
        <f>H659-SUM(H660:H662)</f>
        <v>10877.719999999972</v>
      </c>
      <c r="I663" s="19">
        <f>I659-SUM(I660:I662)</f>
        <v>3906118.58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221.81</v>
      </c>
      <c r="G664" s="249">
        <v>0</v>
      </c>
      <c r="H664" s="249">
        <v>0</v>
      </c>
      <c r="I664" s="19">
        <f>SUM(F664:H664)</f>
        <v>221.81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17561.16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17610.2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-10877.72</v>
      </c>
      <c r="I668" s="19">
        <f>SUM(F668:H668)</f>
        <v>-10877.72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17561.16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17561.16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Plainfield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1232665.94</v>
      </c>
      <c r="C9" s="230">
        <f>'DOE25'!G196+'DOE25'!G214+'DOE25'!G232+'DOE25'!G275+'DOE25'!G294+'DOE25'!G313</f>
        <v>432140.19</v>
      </c>
    </row>
    <row r="10" spans="1:3" x14ac:dyDescent="0.2">
      <c r="A10" t="s">
        <v>779</v>
      </c>
      <c r="B10" s="241">
        <v>1154785.04</v>
      </c>
      <c r="C10" s="241">
        <f>+B10/B13*C9</f>
        <v>404837.19911556708</v>
      </c>
    </row>
    <row r="11" spans="1:3" x14ac:dyDescent="0.2">
      <c r="A11" t="s">
        <v>780</v>
      </c>
      <c r="B11" s="241">
        <v>51565.43</v>
      </c>
      <c r="C11" s="241">
        <f>+B11/B13*C9</f>
        <v>18077.480681936991</v>
      </c>
    </row>
    <row r="12" spans="1:3" x14ac:dyDescent="0.2">
      <c r="A12" t="s">
        <v>781</v>
      </c>
      <c r="B12" s="241">
        <v>26315.47</v>
      </c>
      <c r="C12" s="241">
        <f>+B12/B13*C9</f>
        <v>9225.5102024959815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1232665.94</v>
      </c>
      <c r="C13" s="232">
        <f>SUM(C10:C12)</f>
        <v>432140.19000000006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531569.1</v>
      </c>
      <c r="C18" s="230">
        <f>'DOE25'!G197+'DOE25'!G215+'DOE25'!G233+'DOE25'!G276+'DOE25'!G295+'DOE25'!G314</f>
        <v>254520.16</v>
      </c>
    </row>
    <row r="19" spans="1:3" x14ac:dyDescent="0.2">
      <c r="A19" t="s">
        <v>779</v>
      </c>
      <c r="B19" s="241">
        <f>291390.98+10425</f>
        <v>301815.98</v>
      </c>
      <c r="C19" s="241">
        <f>+B19/B22*C18</f>
        <v>144512.25912145156</v>
      </c>
    </row>
    <row r="20" spans="1:3" x14ac:dyDescent="0.2">
      <c r="A20" t="s">
        <v>780</v>
      </c>
      <c r="B20" s="241">
        <v>210354.98</v>
      </c>
      <c r="C20" s="241">
        <f>+B20/B22*C18</f>
        <v>100719.89354986361</v>
      </c>
    </row>
    <row r="21" spans="1:3" x14ac:dyDescent="0.2">
      <c r="A21" t="s">
        <v>781</v>
      </c>
      <c r="B21" s="241">
        <v>19398.14</v>
      </c>
      <c r="C21" s="241">
        <f>+B21/B22*C18</f>
        <v>9288.0073286848328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531569.1</v>
      </c>
      <c r="C22" s="232">
        <f>SUM(C19:C21)</f>
        <v>254520.16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>
        <v>0</v>
      </c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>
        <v>0</v>
      </c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22801.16</v>
      </c>
      <c r="C36" s="236">
        <f>'DOE25'!G199+'DOE25'!G217+'DOE25'!G235+'DOE25'!G278+'DOE25'!G297+'DOE25'!G316</f>
        <v>2621.91</v>
      </c>
    </row>
    <row r="37" spans="1:3" x14ac:dyDescent="0.2">
      <c r="A37" t="s">
        <v>779</v>
      </c>
      <c r="B37" s="241">
        <v>12890</v>
      </c>
      <c r="C37" s="241">
        <f>+B37/B40*C36</f>
        <v>1482.2237070394665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9911.16</v>
      </c>
      <c r="C39" s="241">
        <f>+B39/B40*C36</f>
        <v>1139.6862929605336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22801.16</v>
      </c>
      <c r="C40" s="232">
        <f>SUM(C37:C39)</f>
        <v>2621.91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Plainfield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3922986.66</v>
      </c>
      <c r="D5" s="20">
        <f>SUM('DOE25'!L196:L199)+SUM('DOE25'!L214:L217)+SUM('DOE25'!L232:L235)-F5-G5</f>
        <v>3896666.52</v>
      </c>
      <c r="E5" s="244"/>
      <c r="F5" s="256">
        <f>SUM('DOE25'!J196:J199)+SUM('DOE25'!J214:J217)+SUM('DOE25'!J232:J235)</f>
        <v>17144.39</v>
      </c>
      <c r="G5" s="53">
        <f>SUM('DOE25'!K196:K199)+SUM('DOE25'!K214:K217)+SUM('DOE25'!K232:K235)</f>
        <v>9175.75</v>
      </c>
      <c r="H5" s="260"/>
    </row>
    <row r="6" spans="1:9" x14ac:dyDescent="0.2">
      <c r="A6" s="32">
        <v>2100</v>
      </c>
      <c r="B6" t="s">
        <v>801</v>
      </c>
      <c r="C6" s="246">
        <f t="shared" si="0"/>
        <v>266797.31</v>
      </c>
      <c r="D6" s="20">
        <f>'DOE25'!L201+'DOE25'!L219+'DOE25'!L237-F6-G6</f>
        <v>258225.91999999998</v>
      </c>
      <c r="E6" s="244"/>
      <c r="F6" s="256">
        <f>'DOE25'!J201+'DOE25'!J219+'DOE25'!J237</f>
        <v>8456.39</v>
      </c>
      <c r="G6" s="53">
        <f>'DOE25'!K201+'DOE25'!K219+'DOE25'!K237</f>
        <v>115</v>
      </c>
      <c r="H6" s="260"/>
    </row>
    <row r="7" spans="1:9" x14ac:dyDescent="0.2">
      <c r="A7" s="32">
        <v>2200</v>
      </c>
      <c r="B7" t="s">
        <v>834</v>
      </c>
      <c r="C7" s="246">
        <f t="shared" si="0"/>
        <v>113843.39</v>
      </c>
      <c r="D7" s="20">
        <f>'DOE25'!L202+'DOE25'!L220+'DOE25'!L238-F7-G7</f>
        <v>112471.64</v>
      </c>
      <c r="E7" s="244"/>
      <c r="F7" s="256">
        <f>'DOE25'!J202+'DOE25'!J220+'DOE25'!J238</f>
        <v>1371.75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75032.34</v>
      </c>
      <c r="D8" s="244"/>
      <c r="E8" s="20">
        <f>'DOE25'!L203+'DOE25'!L221+'DOE25'!L239-F8-G8-D9-D11</f>
        <v>62774.619999999995</v>
      </c>
      <c r="F8" s="256">
        <f>'DOE25'!J203+'DOE25'!J221+'DOE25'!J239</f>
        <v>3969.82</v>
      </c>
      <c r="G8" s="53">
        <f>'DOE25'!K203+'DOE25'!K221+'DOE25'!K239</f>
        <v>8287.9000000000015</v>
      </c>
      <c r="H8" s="260"/>
    </row>
    <row r="9" spans="1:9" x14ac:dyDescent="0.2">
      <c r="A9" s="32">
        <v>2310</v>
      </c>
      <c r="B9" t="s">
        <v>818</v>
      </c>
      <c r="C9" s="246">
        <f t="shared" si="0"/>
        <v>26969.16</v>
      </c>
      <c r="D9" s="245">
        <f>1550+609.5+8573.63+283.5+658.9+732.7+3395.18+753.75+8850+400+1162</f>
        <v>26969.16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8850</v>
      </c>
      <c r="D10" s="244"/>
      <c r="E10" s="245">
        <v>8850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80442.850000000006</v>
      </c>
      <c r="D11" s="245">
        <v>80442.850000000006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297089.68999999994</v>
      </c>
      <c r="D12" s="20">
        <f>'DOE25'!L204+'DOE25'!L222+'DOE25'!L240-F12-G12</f>
        <v>294108.71999999997</v>
      </c>
      <c r="E12" s="244"/>
      <c r="F12" s="256">
        <f>'DOE25'!J204+'DOE25'!J222+'DOE25'!J240</f>
        <v>639.97</v>
      </c>
      <c r="G12" s="53">
        <f>'DOE25'!K204+'DOE25'!K222+'DOE25'!K240</f>
        <v>2341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310953.64</v>
      </c>
      <c r="D14" s="20">
        <f>'DOE25'!L206+'DOE25'!L224+'DOE25'!L242-F14-G14</f>
        <v>305660.18</v>
      </c>
      <c r="E14" s="244"/>
      <c r="F14" s="256">
        <f>'DOE25'!J206+'DOE25'!J224+'DOE25'!J242</f>
        <v>4843.46</v>
      </c>
      <c r="G14" s="53">
        <f>'DOE25'!K206+'DOE25'!K224+'DOE25'!K242</f>
        <v>450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181744.82</v>
      </c>
      <c r="D15" s="20">
        <f>'DOE25'!L207+'DOE25'!L225+'DOE25'!L243-F15-G15</f>
        <v>181744.82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111023.93</v>
      </c>
      <c r="D25" s="244"/>
      <c r="E25" s="244"/>
      <c r="F25" s="259"/>
      <c r="G25" s="257"/>
      <c r="H25" s="258">
        <f>'DOE25'!L259+'DOE25'!L260+'DOE25'!L340+'DOE25'!L341</f>
        <v>111023.93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66739.590000000011</v>
      </c>
      <c r="D29" s="20">
        <f>'DOE25'!L357+'DOE25'!L358+'DOE25'!L359-'DOE25'!I366-F29-G29</f>
        <v>66739.590000000011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162274.66999999998</v>
      </c>
      <c r="D31" s="20">
        <f>'DOE25'!L289+'DOE25'!L308+'DOE25'!L327+'DOE25'!L332+'DOE25'!L333+'DOE25'!L334-F31-G31</f>
        <v>147630.71</v>
      </c>
      <c r="E31" s="244"/>
      <c r="F31" s="256">
        <f>'DOE25'!J289+'DOE25'!J308+'DOE25'!J327+'DOE25'!J332+'DOE25'!J333+'DOE25'!J334</f>
        <v>14607.96</v>
      </c>
      <c r="G31" s="53">
        <f>'DOE25'!K289+'DOE25'!K308+'DOE25'!K327+'DOE25'!K332+'DOE25'!K333+'DOE25'!K334</f>
        <v>36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5370660.1099999994</v>
      </c>
      <c r="E33" s="247">
        <f>SUM(E5:E31)</f>
        <v>71624.62</v>
      </c>
      <c r="F33" s="247">
        <f>SUM(F5:F31)</f>
        <v>51033.74</v>
      </c>
      <c r="G33" s="247">
        <f>SUM(G5:G31)</f>
        <v>20405.650000000001</v>
      </c>
      <c r="H33" s="247">
        <f>SUM(H5:H31)</f>
        <v>111023.93</v>
      </c>
    </row>
    <row r="35" spans="2:8" ht="12" thickBot="1" x14ac:dyDescent="0.25">
      <c r="B35" s="254" t="s">
        <v>847</v>
      </c>
      <c r="D35" s="255">
        <f>E33</f>
        <v>71624.62</v>
      </c>
      <c r="E35" s="250"/>
    </row>
    <row r="36" spans="2:8" ht="12" thickTop="1" x14ac:dyDescent="0.2">
      <c r="B36" t="s">
        <v>815</v>
      </c>
      <c r="D36" s="20">
        <f>D33</f>
        <v>5370660.1099999994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Plainfield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144929.28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79472.929999999993</v>
      </c>
      <c r="D9" s="95">
        <f>'DOE25'!G10</f>
        <v>0</v>
      </c>
      <c r="E9" s="95">
        <f>'DOE25'!H10</f>
        <v>0</v>
      </c>
      <c r="F9" s="95">
        <f>'DOE25'!I10</f>
        <v>1093.28</v>
      </c>
      <c r="G9" s="95">
        <f>'DOE25'!J10</f>
        <v>310575.90999999997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42164.84</v>
      </c>
      <c r="D11" s="95">
        <f>'DOE25'!G12</f>
        <v>1535.3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811.45</v>
      </c>
      <c r="E12" s="95">
        <f>'DOE25'!H13</f>
        <v>43806.979999999996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266567.05</v>
      </c>
      <c r="D18" s="41">
        <f>SUM(D8:D17)</f>
        <v>2346.75</v>
      </c>
      <c r="E18" s="41">
        <f>SUM(E8:E17)</f>
        <v>43806.979999999996</v>
      </c>
      <c r="F18" s="41">
        <f>SUM(F8:F17)</f>
        <v>1093.28</v>
      </c>
      <c r="G18" s="41">
        <f>SUM(G8:G17)</f>
        <v>310575.90999999997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42606.979999999996</v>
      </c>
      <c r="F21" s="95">
        <f>'DOE25'!I22</f>
        <v>1093.1600000000001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27532.77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27532.77</v>
      </c>
      <c r="D31" s="41">
        <f>SUM(D21:D30)</f>
        <v>0</v>
      </c>
      <c r="E31" s="41">
        <f>SUM(E21:E30)</f>
        <v>42606.979999999996</v>
      </c>
      <c r="F31" s="41">
        <f>SUM(F21:F30)</f>
        <v>1093.1600000000001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2346.75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1200</v>
      </c>
      <c r="F46" s="95">
        <f>'DOE25'!I47</f>
        <v>0.11999999999989086</v>
      </c>
      <c r="G46" s="95">
        <f>'DOE25'!J47</f>
        <v>310575.90999999997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46522.58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162511.70000000001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239034.28000000003</v>
      </c>
      <c r="D49" s="41">
        <f>SUM(D34:D48)</f>
        <v>2346.75</v>
      </c>
      <c r="E49" s="41">
        <f>SUM(E34:E48)</f>
        <v>1200</v>
      </c>
      <c r="F49" s="41">
        <f>SUM(F34:F48)</f>
        <v>0.11999999999989086</v>
      </c>
      <c r="G49" s="41">
        <f>SUM(G34:G48)</f>
        <v>310575.90999999997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266567.05000000005</v>
      </c>
      <c r="D50" s="41">
        <f>D49+D31</f>
        <v>2346.75</v>
      </c>
      <c r="E50" s="41">
        <f>E49+E31</f>
        <v>43806.979999999996</v>
      </c>
      <c r="F50" s="41">
        <f>F49+F31</f>
        <v>1093.28</v>
      </c>
      <c r="G50" s="41">
        <f>G49+G31</f>
        <v>310575.90999999997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3997699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7833.3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125.77000000000001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1720.86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33534.9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13008.63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20967.7</v>
      </c>
      <c r="D61" s="130">
        <f>SUM(D56:D60)</f>
        <v>33534.9</v>
      </c>
      <c r="E61" s="130">
        <f>SUM(E56:E60)</f>
        <v>0</v>
      </c>
      <c r="F61" s="130">
        <f>SUM(F56:F60)</f>
        <v>0</v>
      </c>
      <c r="G61" s="130">
        <f>SUM(G56:G60)</f>
        <v>1720.86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4018666.7</v>
      </c>
      <c r="D62" s="22">
        <f>D55+D61</f>
        <v>33534.9</v>
      </c>
      <c r="E62" s="22">
        <f>E55+E61</f>
        <v>0</v>
      </c>
      <c r="F62" s="22">
        <f>F55+F61</f>
        <v>0</v>
      </c>
      <c r="G62" s="22">
        <f>G55+G61</f>
        <v>1720.86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794931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645822.84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688.16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1441441.9999999998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31502.34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640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31502.34</v>
      </c>
      <c r="D77" s="130">
        <f>SUM(D71:D76)</f>
        <v>640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1472944.3399999999</v>
      </c>
      <c r="D80" s="130">
        <f>SUM(D78:D79)+D77+D69</f>
        <v>640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44106.96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26441.45</v>
      </c>
      <c r="D87" s="95">
        <f>SUM('DOE25'!G152:G160)</f>
        <v>11229.2</v>
      </c>
      <c r="E87" s="95">
        <f>SUM('DOE25'!H152:H160)</f>
        <v>118167.71</v>
      </c>
      <c r="F87" s="95">
        <f>SUM('DOE25'!I152:I160)</f>
        <v>312872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26441.45</v>
      </c>
      <c r="D90" s="131">
        <f>SUM(D84:D89)</f>
        <v>11229.2</v>
      </c>
      <c r="E90" s="131">
        <f>SUM(E84:E89)</f>
        <v>162274.67000000001</v>
      </c>
      <c r="F90" s="131">
        <f>SUM(F84:F89)</f>
        <v>312872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22146.94</v>
      </c>
      <c r="E95" s="95">
        <f>'DOE25'!H178</f>
        <v>0</v>
      </c>
      <c r="F95" s="95">
        <f>'DOE25'!I178</f>
        <v>0</v>
      </c>
      <c r="G95" s="95">
        <f>'DOE25'!J178</f>
        <v>55000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60000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60000</v>
      </c>
      <c r="D102" s="86">
        <f>SUM(D92:D101)</f>
        <v>22146.94</v>
      </c>
      <c r="E102" s="86">
        <f>SUM(E92:E101)</f>
        <v>0</v>
      </c>
      <c r="F102" s="86">
        <f>SUM(F92:F101)</f>
        <v>0</v>
      </c>
      <c r="G102" s="86">
        <f>SUM(G92:G101)</f>
        <v>55000</v>
      </c>
    </row>
    <row r="103" spans="1:7" ht="12.75" thickTop="1" thickBot="1" x14ac:dyDescent="0.25">
      <c r="A103" s="33" t="s">
        <v>765</v>
      </c>
      <c r="C103" s="86">
        <f>C62+C80+C90+C102</f>
        <v>5578052.4900000002</v>
      </c>
      <c r="D103" s="86">
        <f>D62+D80+D90+D102</f>
        <v>67551.040000000008</v>
      </c>
      <c r="E103" s="86">
        <f>E62+E80+E90+E102</f>
        <v>162274.67000000001</v>
      </c>
      <c r="F103" s="86">
        <f>F62+F80+F90+F102</f>
        <v>312872</v>
      </c>
      <c r="G103" s="86">
        <f>G62+G80+G102</f>
        <v>56720.86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3031030.31</v>
      </c>
      <c r="D108" s="24" t="s">
        <v>289</v>
      </c>
      <c r="E108" s="95">
        <f>('DOE25'!L275)+('DOE25'!L294)+('DOE25'!L313)</f>
        <v>71898.87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859474.58</v>
      </c>
      <c r="D109" s="24" t="s">
        <v>289</v>
      </c>
      <c r="E109" s="95">
        <f>('DOE25'!L276)+('DOE25'!L295)+('DOE25'!L314)</f>
        <v>52145.19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32481.77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3922986.66</v>
      </c>
      <c r="D114" s="86">
        <f>SUM(D108:D113)</f>
        <v>0</v>
      </c>
      <c r="E114" s="86">
        <f>SUM(E108:E113)</f>
        <v>124044.06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266797.31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113843.39</v>
      </c>
      <c r="D118" s="24" t="s">
        <v>289</v>
      </c>
      <c r="E118" s="95">
        <f>+('DOE25'!L281)+('DOE25'!L300)+('DOE25'!L319)</f>
        <v>38230.61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182444.35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297089.68999999994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310953.64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181744.82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66739.590000000011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1352873.2</v>
      </c>
      <c r="D127" s="86">
        <f>SUM(D117:D126)</f>
        <v>66739.590000000011</v>
      </c>
      <c r="E127" s="86">
        <f>SUM(E117:E126)</f>
        <v>38230.61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312872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94800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16223.93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60000</v>
      </c>
    </row>
    <row r="134" spans="1:7" x14ac:dyDescent="0.2">
      <c r="A134" t="s">
        <v>233</v>
      </c>
      <c r="B134" s="32" t="s">
        <v>234</v>
      </c>
      <c r="C134" s="95">
        <f>'DOE25'!L262</f>
        <v>22146.94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55408.4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1312.46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-1720.8600000000006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188170.87</v>
      </c>
      <c r="D143" s="141">
        <f>SUM(D129:D142)</f>
        <v>0</v>
      </c>
      <c r="E143" s="141">
        <f>SUM(E129:E142)</f>
        <v>0</v>
      </c>
      <c r="F143" s="141">
        <f>SUM(F129:F142)</f>
        <v>312872</v>
      </c>
      <c r="G143" s="141">
        <f>SUM(G129:G142)</f>
        <v>60000</v>
      </c>
    </row>
    <row r="144" spans="1:7" ht="12.75" thickTop="1" thickBot="1" x14ac:dyDescent="0.25">
      <c r="A144" s="33" t="s">
        <v>244</v>
      </c>
      <c r="C144" s="86">
        <f>(C114+C127+C143)</f>
        <v>5464030.7300000004</v>
      </c>
      <c r="D144" s="86">
        <f>(D114+D127+D143)</f>
        <v>66739.590000000011</v>
      </c>
      <c r="E144" s="86">
        <f>(E114+E127+E143)</f>
        <v>162274.66999999998</v>
      </c>
      <c r="F144" s="86">
        <f>(F114+F127+F143)</f>
        <v>312872</v>
      </c>
      <c r="G144" s="86">
        <f>(G114+G127+G143)</f>
        <v>60000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10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7/07</v>
      </c>
      <c r="C151" s="152" t="str">
        <f>'DOE25'!G490</f>
        <v>12/10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8/12</v>
      </c>
      <c r="C152" s="152" t="str">
        <f>'DOE25'!G491</f>
        <v>1/21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300000</v>
      </c>
      <c r="C153" s="137">
        <f>'DOE25'!G492</f>
        <v>330000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4.08</v>
      </c>
      <c r="C154" s="137">
        <f>'DOE25'!G493</f>
        <v>3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120000</v>
      </c>
      <c r="C155" s="137">
        <f>'DOE25'!G494</f>
        <v>330000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450000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60000</v>
      </c>
      <c r="C157" s="137">
        <f>'DOE25'!G496</f>
        <v>35000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95000</v>
      </c>
    </row>
    <row r="158" spans="1:9" x14ac:dyDescent="0.2">
      <c r="A158" s="22" t="s">
        <v>35</v>
      </c>
      <c r="B158" s="137">
        <f>'DOE25'!F497</f>
        <v>60000</v>
      </c>
      <c r="C158" s="137">
        <f>'DOE25'!G497</f>
        <v>295000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355000</v>
      </c>
    </row>
    <row r="159" spans="1:9" x14ac:dyDescent="0.2">
      <c r="A159" s="22" t="s">
        <v>36</v>
      </c>
      <c r="B159" s="137">
        <f>'DOE25'!F498</f>
        <v>1275</v>
      </c>
      <c r="C159" s="137">
        <f>'DOE25'!G498</f>
        <v>42750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44025</v>
      </c>
    </row>
    <row r="160" spans="1:9" x14ac:dyDescent="0.2">
      <c r="A160" s="22" t="s">
        <v>37</v>
      </c>
      <c r="B160" s="137">
        <f>'DOE25'!F499</f>
        <v>61275</v>
      </c>
      <c r="C160" s="137">
        <f>'DOE25'!G499</f>
        <v>337750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399025</v>
      </c>
    </row>
    <row r="161" spans="1:7" x14ac:dyDescent="0.2">
      <c r="A161" s="22" t="s">
        <v>38</v>
      </c>
      <c r="B161" s="137">
        <f>'DOE25'!F500</f>
        <v>60000</v>
      </c>
      <c r="C161" s="137">
        <f>'DOE25'!G500</f>
        <v>35000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95000</v>
      </c>
    </row>
    <row r="162" spans="1:7" x14ac:dyDescent="0.2">
      <c r="A162" s="22" t="s">
        <v>39</v>
      </c>
      <c r="B162" s="137">
        <f>'DOE25'!F501</f>
        <v>1275</v>
      </c>
      <c r="C162" s="137">
        <f>'DOE25'!G501</f>
        <v>8850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10125</v>
      </c>
    </row>
    <row r="163" spans="1:7" x14ac:dyDescent="0.2">
      <c r="A163" s="22" t="s">
        <v>246</v>
      </c>
      <c r="B163" s="137">
        <f>'DOE25'!F502</f>
        <v>61275</v>
      </c>
      <c r="C163" s="137">
        <f>'DOE25'!G502</f>
        <v>43850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105125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Plainfield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17561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17561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3102929</v>
      </c>
      <c r="D10" s="182">
        <f>ROUND((C10/$C$28)*100,1)</f>
        <v>56.5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911620</v>
      </c>
      <c r="D11" s="182">
        <f>ROUND((C11/$C$28)*100,1)</f>
        <v>16.600000000000001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32482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266797</v>
      </c>
      <c r="D15" s="182">
        <f t="shared" ref="D15:D27" si="0">ROUND((C15/$C$28)*100,1)</f>
        <v>4.9000000000000004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152074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182444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297090</v>
      </c>
      <c r="D18" s="182">
        <f t="shared" si="0"/>
        <v>5.4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310954</v>
      </c>
      <c r="D20" s="182">
        <f t="shared" si="0"/>
        <v>5.7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181745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16224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33205.1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5487564.0999999996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312872</v>
      </c>
    </row>
    <row r="30" spans="1:4" x14ac:dyDescent="0.2">
      <c r="B30" s="187" t="s">
        <v>729</v>
      </c>
      <c r="C30" s="180">
        <f>SUM(C28:C29)</f>
        <v>5800436.0999999996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94800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3997699</v>
      </c>
      <c r="D35" s="182">
        <f t="shared" ref="D35:D40" si="1">ROUND((C35/$C$41)*100,1)</f>
        <v>66.599999999999994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22688.55999999959</v>
      </c>
      <c r="D36" s="182">
        <f t="shared" si="1"/>
        <v>0.4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1441442</v>
      </c>
      <c r="D37" s="182">
        <f t="shared" si="1"/>
        <v>24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32142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512817</v>
      </c>
      <c r="D39" s="182">
        <f t="shared" si="1"/>
        <v>8.5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6006788.5599999996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Plainfield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2012-09-28T16:47:29Z</cp:lastPrinted>
  <dcterms:created xsi:type="dcterms:W3CDTF">1997-12-04T19:04:30Z</dcterms:created>
  <dcterms:modified xsi:type="dcterms:W3CDTF">2012-11-21T15:23:08Z</dcterms:modified>
</cp:coreProperties>
</file>