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G33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I139" i="1" l="1"/>
  <c r="G139" i="1"/>
  <c r="F139" i="1"/>
  <c r="I662" i="1"/>
  <c r="F31" i="13"/>
  <c r="I433" i="1"/>
  <c r="G433" i="1"/>
  <c r="G570" i="1"/>
  <c r="F544" i="1"/>
  <c r="J641" i="1"/>
  <c r="J648" i="1"/>
  <c r="A22" i="12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C28" i="10" s="1"/>
  <c r="F168" i="1"/>
  <c r="F192" i="1" s="1"/>
  <c r="G626" i="1" s="1"/>
  <c r="J626" i="1" s="1"/>
  <c r="J139" i="1"/>
  <c r="D103" i="2"/>
  <c r="J637" i="1"/>
  <c r="J621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D25" i="10"/>
  <c r="D23" i="10"/>
  <c r="C30" i="10"/>
  <c r="D24" i="10"/>
  <c r="D17" i="10"/>
  <c r="E103" i="2"/>
  <c r="D11" i="10"/>
  <c r="D22" i="10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D15" i="10"/>
  <c r="D27" i="10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D26" i="10" l="1"/>
  <c r="D19" i="10"/>
  <c r="D18" i="10"/>
  <c r="D16" i="10"/>
  <c r="D13" i="10"/>
  <c r="D12" i="10"/>
  <c r="D20" i="10"/>
  <c r="D21" i="10"/>
  <c r="D10" i="10"/>
  <c r="D28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G636" i="1" l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<sst xmlns="http://schemas.openxmlformats.org/spreadsheetml/2006/main" count="3945" uniqueCount="912">
  <si>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</si>
  <si>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</si>
  <si>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</si>
  <si>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</si>
  <si>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</si>
  <si>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</si>
  <si>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</si>
  <si>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</si>
  <si>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</si>
  <si>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</si>
  <si>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</si>
  <si>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</si>
  <si>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</si>
  <si>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</si>
  <si>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</si>
  <si>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</si>
  <si>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</si>
  <si>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</si>
  <si>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</si>
  <si>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</si>
  <si>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</si>
  <si>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</si>
  <si>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</si>
  <si>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</si>
  <si>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</si>
  <si>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</si>
  <si>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</si>
  <si>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</si>
  <si>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</si>
  <si>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</si>
  <si>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</si>
  <si>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</si>
  <si>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</si>
  <si>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</si>
  <si>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</si>
  <si>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</si>
  <si>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</si>
  <si>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</si>
  <si>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</si>
  <si>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</si>
  <si>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</si>
  <si>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</si>
  <si>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</si>
  <si>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</si>
  <si>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</si>
  <si>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</si>
  <si>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</si>
  <si>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</si>
  <si>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</si>
  <si>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</si>
  <si>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</si>
  <si>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</si>
  <si>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</si>
  <si>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</si>
  <si>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</si>
  <si>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</si>
  <si>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</si>
  <si>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</si>
  <si>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</si>
  <si>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</si>
  <si>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</si>
  <si>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</si>
  <si>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</si>
  <si>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</si>
  <si>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</si>
  <si>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</si>
  <si>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</si>
  <si>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</si>
  <si>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</si>
  <si>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</si>
  <si>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</si>
  <si>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</si>
  <si>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</si>
  <si>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</si>
  <si>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</si>
  <si>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</si>
  <si>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</si>
  <si>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</si>
  <si>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</si>
  <si>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</si>
  <si>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</si>
  <si>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</si>
  <si>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</si>
  <si>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</si>
  <si>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</si>
  <si>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</si>
  <si>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</si>
  <si>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</si>
  <si>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</si>
  <si>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</si>
  <si>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</si>
  <si>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</si>
  <si>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</si>
  <si>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</si>
  <si>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</si>
  <si>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</si>
  <si>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</si>
  <si>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</si>
  <si>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</si>
  <si>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</si>
  <si>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</si>
  <si>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</si>
  <si>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</si>
  <si>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</si>
  <si>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</si>
  <si>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</si>
  <si>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</si>
  <si>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</si>
  <si>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</si>
  <si>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</si>
  <si>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</si>
  <si>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</si>
  <si>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</si>
  <si>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</si>
  <si>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</si>
  <si>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</si>
  <si>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</si>
  <si>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</si>
  <si>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</si>
  <si>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</si>
  <si>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</si>
  <si>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</si>
  <si>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</si>
  <si>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</si>
  <si>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</si>
  <si>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</si>
  <si>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</si>
  <si>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</si>
  <si>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</si>
  <si>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</si>
  <si>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</si>
  <si>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</si>
  <si>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</si>
  <si>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</si>
  <si>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</si>
  <si>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</si>
  <si>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</si>
  <si>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</si>
  <si>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</si>
  <si>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</si>
  <si>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</si>
  <si>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</si>
  <si>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</si>
  <si>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</si>
  <si>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</si>
  <si>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</si>
  <si>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</si>
  <si>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</si>
  <si>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</si>
  <si>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</si>
  <si>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</si>
  <si>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</si>
  <si>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</si>
  <si>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</si>
  <si>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</si>
  <si>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</si>
  <si>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</si>
  <si>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</si>
  <si>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</si>
  <si>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</si>
  <si>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</si>
  <si>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</si>
  <si>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</si>
  <si>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</si>
  <si>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</si>
  <si>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</si>
  <si>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</si>
  <si>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</si>
  <si>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</si>
  <si>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</si>
  <si>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</si>
  <si>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</si>
  <si>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</si>
  <si>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</si>
  <si>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</si>
  <si>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</si>
  <si>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</si>
  <si>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</si>
  <si>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</si>
  <si>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</si>
  <si>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</si>
  <si>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</si>
  <si>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</si>
  <si>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</si>
  <si>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</si>
  <si>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</si>
  <si>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</si>
  <si>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</si>
  <si>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</si>
  <si>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</si>
  <si>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</si>
  <si>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</si>
  <si>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</si>
  <si>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</si>
  <si>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</si>
  <si>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</si>
  <si>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</si>
  <si>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</si>
  <si>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</si>
  <si>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</si>
  <si>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</si>
  <si>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</si>
  <si>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</si>
  <si>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</si>
  <si>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</si>
  <si>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</si>
  <si>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</si>
  <si>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</si>
  <si>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</si>
  <si>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</si>
  <si>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</si>
  <si>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</si>
  <si>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</si>
  <si>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</si>
  <si>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</si>
  <si>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</si>
  <si>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</si>
  <si>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</si>
  <si>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</si>
  <si>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</si>
  <si>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</si>
  <si>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</si>
  <si>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</si>
  <si>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</si>
  <si>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</si>
  <si>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</si>
  <si>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</si>
  <si>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</si>
  <si>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</si>
  <si>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</si>
  <si>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</si>
  <si>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</si>
  <si>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</si>
  <si>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</si>
  <si>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</si>
  <si>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</si>
  <si>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</si>
  <si>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</si>
  <si>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</si>
  <si>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</si>
  <si>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</si>
  <si>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</si>
  <si>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</si>
  <si>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</si>
  <si>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</si>
  <si>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</si>
  <si>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</si>
  <si>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</si>
  <si>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</si>
  <si>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</si>
  <si>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</si>
  <si>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</si>
  <si>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</si>
  <si>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</si>
  <si>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</si>
  <si>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</si>
  <si>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</si>
  <si>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</si>
  <si>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</si>
  <si>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</si>
  <si>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</si>
  <si>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</si>
  <si>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</si>
  <si>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</si>
  <si>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</si>
  <si>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</si>
  <si>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</si>
  <si>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</si>
  <si>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</si>
  <si>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</si>
  <si>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</si>
  <si>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</si>
  <si>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</si>
  <si>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</si>
  <si>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</si>
  <si>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</si>
  <si>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</si>
  <si>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</si>
  <si>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</si>
  <si>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</si>
  <si>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</si>
  <si>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</si>
  <si>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</si>
  <si>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</si>
  <si>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</si>
  <si>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</si>
  <si>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</si>
  <si>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</si>
  <si>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</si>
  <si>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</si>
  <si>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</si>
  <si>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</si>
  <si>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</si>
  <si>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</si>
  <si>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</si>
  <si>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</si>
  <si>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</si>
  <si>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</si>
  <si>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</si>
  <si>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</si>
  <si>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</si>
  <si>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</si>
  <si>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</si>
  <si>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</si>
  <si>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</si>
  <si>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</si>
  <si>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</si>
  <si>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</si>
  <si>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</si>
  <si>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</si>
  <si>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</si>
  <si>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</si>
  <si>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</si>
  <si>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</si>
  <si>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</si>
  <si>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</si>
  <si>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</si>
  <si>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</si>
  <si>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</si>
  <si>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</si>
  <si>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</si>
  <si>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</si>
  <si>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</si>
  <si>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</si>
  <si>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</si>
  <si>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</si>
  <si>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</si>
  <si>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</si>
  <si>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</si>
  <si>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</si>
  <si>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</si>
  <si>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</si>
  <si>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</si>
  <si>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</si>
  <si>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</si>
  <si>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</si>
  <si>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</si>
  <si>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</si>
  <si>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</si>
  <si>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</si>
  <si>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</si>
  <si>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</si>
  <si>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</si>
  <si>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</si>
  <si>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</si>
  <si>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</si>
  <si>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</si>
  <si>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</si>
  <si>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</si>
  <si>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</si>
  <si>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</si>
  <si>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</si>
  <si>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</si>
  <si>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</si>
  <si>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</si>
  <si>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</si>
  <si>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</si>
  <si>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</si>
  <si>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</si>
  <si>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</si>
  <si>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</si>
  <si>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</si>
  <si>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</si>
  <si>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</si>
  <si>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</si>
  <si>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</si>
  <si>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</si>
  <si>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</si>
  <si>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</si>
  <si>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</si>
  <si>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</si>
  <si>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</si>
  <si>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</si>
  <si>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</si>
  <si>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</si>
  <si>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</si>
  <si>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</si>
  <si>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</si>
  <si>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</si>
  <si>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</si>
  <si>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</si>
  <si>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</si>
  <si>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</si>
  <si>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</si>
  <si>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</si>
  <si>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</si>
  <si>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</si>
  <si>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</si>
  <si>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</si>
  <si>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</si>
  <si>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</si>
  <si>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</si>
  <si>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</si>
  <si>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</si>
  <si>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</si>
  <si>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</si>
  <si>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</si>
  <si>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</si>
  <si>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</si>
  <si>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</si>
  <si>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</si>
  <si>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</si>
  <si>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</si>
  <si>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</si>
  <si>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</si>
  <si>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</si>
  <si>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</si>
  <si>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</si>
  <si>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</si>
  <si>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</si>
  <si>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</si>
  <si>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</si>
  <si>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</si>
  <si>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</si>
  <si>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</si>
  <si>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</si>
  <si>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</si>
  <si>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</si>
  <si>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</si>
  <si>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</si>
  <si>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</si>
  <si>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</si>
  <si>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</si>
  <si>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</si>
  <si>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</si>
  <si>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</si>
  <si>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</si>
  <si>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</si>
  <si>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</si>
  <si>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</si>
  <si>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</si>
  <si>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</si>
  <si>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</si>
  <si>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</si>
  <si>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</si>
  <si>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</si>
  <si>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</si>
  <si>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</si>
  <si>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</si>
  <si>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</si>
  <si>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</si>
  <si>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</si>
  <si>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</si>
  <si>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</si>
  <si>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</si>
  <si>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</si>
  <si>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</si>
  <si>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</si>
  <si>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</si>
  <si>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</si>
  <si>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</si>
  <si>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</si>
  <si>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</si>
  <si>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</si>
  <si>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</si>
  <si>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</si>
  <si>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</si>
  <si>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</si>
  <si>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</si>
  <si>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</si>
  <si>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</si>
  <si>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</si>
  <si>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</si>
  <si>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</si>
  <si>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</si>
  <si>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</si>
  <si>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</si>
  <si>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</si>
  <si>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</si>
  <si>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</si>
  <si>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</si>
  <si>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</si>
  <si>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</si>
  <si>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</si>
  <si>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</si>
  <si>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</si>
  <si>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</si>
  <si>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</si>
  <si>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</si>
  <si>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</si>
  <si>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</si>
  <si>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</si>
  <si>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</si>
  <si>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</si>
  <si>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</si>
  <si>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</si>
  <si>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</si>
  <si>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</si>
  <si>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</si>
  <si>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</si>
  <si>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</si>
  <si>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</si>
  <si>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</si>
  <si>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</si>
  <si>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</si>
  <si>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</si>
  <si>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</si>
  <si>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</si>
  <si>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</si>
  <si>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</si>
  <si>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</si>
  <si>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</si>
  <si>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</si>
  <si>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</si>
  <si>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</si>
  <si>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</si>
  <si>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</si>
  <si>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</si>
  <si>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</si>
  <si>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</si>
  <si>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</si>
  <si>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</si>
  <si>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</si>
  <si>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</si>
  <si>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</si>
  <si>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</si>
  <si>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</si>
  <si>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</si>
  <si>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</si>
  <si>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</si>
  <si>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</si>
  <si>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</si>
  <si>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</si>
  <si>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</si>
  <si>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</si>
  <si>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</si>
  <si>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</si>
  <si>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</si>
  <si>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</si>
  <si>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</si>
  <si>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</si>
  <si>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</si>
  <si>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</si>
  <si>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</si>
  <si>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</si>
  <si>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</si>
  <si>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</si>
  <si>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</si>
  <si>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</si>
  <si>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</si>
  <si>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</si>
  <si>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</si>
  <si>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</si>
  <si>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</si>
  <si>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</si>
  <si>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</si>
  <si>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</si>
  <si>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</si>
  <si>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</si>
  <si>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</si>
  <si>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</si>
  <si>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</si>
  <si>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</si>
  <si>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</si>
  <si>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</si>
  <si>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</si>
  <si>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</si>
  <si>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</si>
  <si>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</si>
  <si>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</si>
  <si>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</si>
  <si>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</si>
  <si>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</si>
  <si>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</si>
  <si>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</si>
  <si>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</si>
  <si>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</si>
  <si>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</si>
  <si>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</si>
  <si>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</si>
  <si>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</si>
  <si>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</si>
  <si>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</si>
  <si>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</si>
  <si>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</si>
  <si>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</si>
  <si>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</si>
  <si>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</si>
  <si>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</si>
  <si>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</si>
  <si>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</si>
  <si>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</si>
  <si>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</si>
  <si>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</si>
  <si>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</si>
  <si>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</si>
  <si>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</si>
  <si>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</si>
  <si>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</si>
  <si>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</si>
  <si>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</si>
  <si>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</si>
  <si>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</si>
  <si>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</si>
  <si>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</si>
  <si>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</si>
  <si>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</si>
  <si>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</si>
  <si>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</si>
  <si>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</si>
  <si>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</si>
  <si>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</si>
  <si>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</si>
  <si>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</si>
  <si>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</si>
  <si>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</si>
  <si>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</si>
  <si>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</si>
  <si>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</si>
  <si>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</si>
  <si>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</si>
  <si>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</si>
  <si>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</si>
  <si>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</si>
  <si>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</si>
  <si>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</si>
  <si>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</si>
  <si>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</si>
  <si>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</si>
  <si>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</si>
  <si>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</si>
  <si>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</si>
  <si>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</si>
  <si>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</si>
  <si>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</si>
  <si>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</si>
  <si>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</si>
  <si>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</si>
  <si>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</si>
  <si>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</si>
  <si>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</si>
  <si>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</si>
  <si>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</si>
  <si>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</si>
  <si>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</si>
  <si>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</si>
  <si>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</si>
  <si>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</si>
  <si>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</si>
  <si>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</si>
  <si>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</si>
  <si>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</si>
  <si>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</si>
  <si>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</si>
  <si>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</si>
  <si>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</si>
  <si>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</si>
  <si>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</si>
  <si>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</si>
  <si>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</si>
  <si>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</si>
  <si>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</si>
  <si>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</si>
  <si>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</si>
  <si>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</si>
  <si>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</si>
  <si>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</si>
  <si>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</si>
  <si>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</si>
  <si>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</si>
  <si>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</si>
  <si>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</si>
  <si>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</si>
  <si>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</si>
  <si>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</si>
  <si>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</si>
  <si>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</si>
  <si>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</si>
  <si>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</si>
  <si>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</si>
  <si>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</si>
  <si>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</si>
  <si>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</si>
  <si>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</si>
  <si>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</si>
  <si>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</si>
  <si>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</si>
  <si>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</si>
  <si>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</si>
  <si>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</si>
  <si>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</si>
  <si>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</si>
  <si>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</si>
  <si>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</si>
  <si>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</si>
  <si>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</si>
  <si>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</si>
  <si>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</si>
  <si>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</si>
  <si>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</si>
  <si>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</si>
  <si>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</si>
  <si>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</si>
  <si>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</si>
  <si>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</si>
  <si>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</si>
  <si>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</si>
  <si>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</si>
  <si>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</si>
  <si>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</si>
  <si>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</si>
  <si>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</si>
  <si>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</si>
  <si>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</si>
  <si>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</si>
  <si>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</si>
  <si>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</si>
  <si>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</si>
  <si>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</si>
  <si>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</si>
  <si>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</si>
  <si>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</si>
  <si>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</si>
  <si>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</si>
  <si>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</si>
  <si>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</si>
  <si>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</si>
  <si>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</si>
  <si>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</si>
  <si>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</si>
  <si>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</si>
  <si>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</si>
  <si>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</si>
  <si>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</si>
  <si>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</si>
  <si>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</si>
  <si>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</si>
  <si>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</si>
  <si>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</si>
  <si>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</si>
  <si>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</si>
  <si>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</si>
  <si>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</si>
  <si>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</si>
  <si>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</si>
  <si>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</si>
  <si>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</si>
  <si>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</si>
  <si>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</si>
  <si>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</si>
  <si>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</si>
  <si>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</si>
  <si>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</si>
  <si>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</si>
  <si>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</si>
  <si>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</si>
  <si>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</si>
  <si>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</si>
  <si>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</si>
  <si>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</si>
  <si>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</si>
  <si>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</si>
  <si>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</si>
  <si>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</si>
  <si>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</si>
  <si>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</si>
  <si>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</si>
  <si>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</si>
  <si>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</si>
  <si>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</si>
  <si>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</si>
  <si>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</si>
  <si>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</si>
  <si>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</si>
  <si>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</si>
  <si>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</si>
  <si>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</si>
  <si>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</si>
  <si>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</si>
  <si>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</si>
  <si>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</si>
  <si>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</si>
  <si>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</si>
  <si>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</si>
  <si>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</si>
  <si>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</si>
  <si>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</si>
  <si>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</si>
  <si>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</si>
  <si>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</si>
  <si>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</si>
  <si>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</si>
  <si>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</si>
  <si>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</si>
  <si>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</si>
  <si>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</si>
  <si>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</si>
  <si>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</si>
  <si>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</si>
  <si>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</si>
  <si>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</si>
  <si>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</si>
  <si>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</si>
  <si>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</si>
  <si>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</si>
  <si>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</si>
  <si>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</si>
  <si>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</si>
  <si>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</si>
  <si>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</si>
  <si>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</si>
  <si>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</si>
  <si>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</si>
  <si>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</si>
  <si>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</si>
  <si>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</si>
  <si>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</si>
  <si>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</si>
  <si>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</si>
  <si>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</si>
  <si>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</si>
  <si>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</si>
  <si>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</si>
  <si>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</si>
  <si>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</si>
  <si>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</si>
  <si>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</si>
  <si>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</si>
  <si>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</si>
  <si>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</si>
  <si>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</si>
  <si>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</si>
  <si>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</si>
  <si>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</si>
  <si>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</si>
  <si>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</si>
  <si>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</si>
  <si>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</si>
  <si>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</si>
  <si>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</si>
  <si>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</si>
  <si>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</si>
  <si>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</si>
  <si>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</si>
  <si>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</si>
  <si>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</si>
  <si>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</si>
  <si>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</si>
  <si>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</si>
  <si>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</si>
  <si>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</si>
  <si>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</si>
  <si>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</si>
  <si>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</si>
  <si>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</si>
  <si>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</si>
  <si>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</si>
  <si>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</si>
  <si>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</si>
  <si>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</si>
  <si>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</si>
  <si>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</si>
  <si>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</si>
  <si>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</si>
  <si>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</si>
  <si>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</si>
  <si>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</si>
  <si>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</si>
  <si>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</si>
  <si>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</si>
  <si>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</si>
  <si>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</si>
  <si>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</si>
  <si>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</si>
  <si>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</si>
  <si>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</si>
  <si>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</si>
  <si>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</si>
  <si>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</si>
  <si>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</si>
  <si>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</si>
  <si>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</si>
  <si>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</si>
  <si>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</si>
  <si>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</si>
  <si>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</si>
  <si>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</si>
  <si>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</si>
  <si>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</si>
  <si>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</si>
  <si>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</si>
  <si>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</si>
  <si>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</si>
  <si>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</si>
  <si>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</si>
  <si>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</si>
  <si>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</si>
  <si>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</si>
  <si>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</si>
  <si>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</si>
  <si>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</si>
  <si>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</si>
  <si>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</si>
  <si>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</si>
  <si>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</si>
  <si>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</si>
  <si>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</si>
  <si>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</si>
  <si>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</si>
  <si>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</si>
  <si>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</si>
  <si>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</si>
  <si>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</si>
  <si>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</si>
  <si>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</si>
  <si>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</si>
  <si>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</si>
  <si>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</si>
  <si>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</si>
  <si>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PLYMOUTH SCHOOL DISTRICT</t>
  </si>
  <si>
    <t>07/10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</si>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</sst>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G664" sqref="G664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447</v>
      </c>
      <c r="C2" s="21">
        <v>447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220400.77</v>
      </c>
      <c r="G9" s="18">
        <v>-5379.22</v>
      </c>
      <c r="H9" s="18">
        <v>23495.64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86645.72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125683.81</v>
      </c>
      <c r="G13" s="18">
        <v>18038.22</v>
      </c>
      <c r="H13" s="18">
        <v>22970.91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550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859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347493.57999999996</v>
      </c>
      <c r="G19" s="41">
        <f>SUM(G9:G18)</f>
        <v>12659</v>
      </c>
      <c r="H19" s="41">
        <f>SUM(H9:H18)</f>
        <v>46466.55</v>
      </c>
      <c r="I19" s="41">
        <f>SUM(I9:I18)</f>
        <v>0</v>
      </c>
      <c r="J19" s="41">
        <f>SUM(J9:J18)</f>
        <v>86645.72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68669.87</v>
      </c>
      <c r="G24" s="18">
        <v>12659</v>
      </c>
      <c r="H24" s="18">
        <v>6920.61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60755.69</v>
      </c>
      <c r="G30" s="18"/>
      <c r="H30" s="18">
        <v>5159.66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129425.56</v>
      </c>
      <c r="G32" s="41">
        <f>SUM(G22:G31)</f>
        <v>12659</v>
      </c>
      <c r="H32" s="41">
        <f>SUM(H22:H31)</f>
        <v>12080.27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34386.28</v>
      </c>
      <c r="I47" s="18"/>
      <c r="J47" s="13">
        <f>SUM(I458)</f>
        <v>86645.72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143366.66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74701.36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218068.02000000002</v>
      </c>
      <c r="G50" s="41">
        <f>SUM(G35:G49)</f>
        <v>0</v>
      </c>
      <c r="H50" s="41">
        <f>SUM(H35:H49)</f>
        <v>34386.28</v>
      </c>
      <c r="I50" s="41">
        <f>SUM(I35:I49)</f>
        <v>0</v>
      </c>
      <c r="J50" s="41">
        <f>SUM(J35:J49)</f>
        <v>86645.72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347493.58</v>
      </c>
      <c r="G51" s="41">
        <f>G50+G32</f>
        <v>12659</v>
      </c>
      <c r="H51" s="41">
        <f>H50+H32</f>
        <v>46466.55</v>
      </c>
      <c r="I51" s="41">
        <f>I50+I32</f>
        <v>0</v>
      </c>
      <c r="J51" s="41">
        <f>J50+J32</f>
        <v>86645.72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3694352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3694352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16841.09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42104.3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269626.73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291219.12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619791.24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9.98</v>
      </c>
      <c r="G95" s="18"/>
      <c r="H95" s="18"/>
      <c r="I95" s="18"/>
      <c r="J95" s="18">
        <v>50.68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70436.13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540</v>
      </c>
      <c r="G101" s="18"/>
      <c r="H101" s="18">
        <v>28415.19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189831.54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190381.52000000002</v>
      </c>
      <c r="G110" s="41">
        <f>SUM(G95:G109)</f>
        <v>70436.13</v>
      </c>
      <c r="H110" s="41">
        <f>SUM(H95:H109)</f>
        <v>28415.19</v>
      </c>
      <c r="I110" s="41">
        <f>SUM(I95:I109)</f>
        <v>0</v>
      </c>
      <c r="J110" s="41">
        <f>SUM(J95:J109)</f>
        <v>50.68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4504524.76</v>
      </c>
      <c r="G111" s="41">
        <f>G59+G110</f>
        <v>70436.13</v>
      </c>
      <c r="H111" s="41">
        <f>H59+H78+H93+H110</f>
        <v>28415.19</v>
      </c>
      <c r="I111" s="41">
        <f>I59+I110</f>
        <v>0</v>
      </c>
      <c r="J111" s="41">
        <f>J59+J110</f>
        <v>50.68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2093022.54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609798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1813.46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2704634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416783.4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123036.15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1798.35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539819.55000000005</v>
      </c>
      <c r="G135" s="41">
        <f>SUM(G122:G134)</f>
        <v>1798.35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3244453.55</v>
      </c>
      <c r="G139" s="41">
        <f>G120+SUM(G135:G136)</f>
        <v>1798.35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2337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284262.19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97630.01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108626.4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6445.52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108626.4</v>
      </c>
      <c r="G161" s="41">
        <f>SUM(G149:G160)</f>
        <v>97630.01</v>
      </c>
      <c r="H161" s="41">
        <f>SUM(H149:H160)</f>
        <v>293044.71000000002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2901.72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111528.12</v>
      </c>
      <c r="G168" s="41">
        <f>G146+G161+SUM(G162:G167)</f>
        <v>97630.01</v>
      </c>
      <c r="H168" s="41">
        <f>H146+H161+SUM(H162:H167)</f>
        <v>293044.71000000002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369173.89</v>
      </c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369173.89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1817.46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1817.46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25000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25000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394173.89</v>
      </c>
      <c r="G191" s="41">
        <f>G182+SUM(G187:G190)</f>
        <v>1817.46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8254680.3199999994</v>
      </c>
      <c r="G192" s="47">
        <f>G111+G139+G168+G191</f>
        <v>171681.94999999998</v>
      </c>
      <c r="H192" s="47">
        <f>H111+H139+H168+H191</f>
        <v>321459.90000000002</v>
      </c>
      <c r="I192" s="47">
        <f>I111+I139+I168+I191</f>
        <v>0</v>
      </c>
      <c r="J192" s="47">
        <f>J111+J139+J191</f>
        <v>50.68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2046194.13</v>
      </c>
      <c r="G196" s="18">
        <v>893775.33</v>
      </c>
      <c r="H196" s="18">
        <v>20232.34</v>
      </c>
      <c r="I196" s="18">
        <v>62793.01</v>
      </c>
      <c r="J196" s="18">
        <v>7160.71</v>
      </c>
      <c r="K196" s="18">
        <v>4690.1499999999996</v>
      </c>
      <c r="L196" s="19">
        <f>SUM(F196:K196)</f>
        <v>3034845.6699999995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901539.76</v>
      </c>
      <c r="G197" s="18">
        <v>438796.43</v>
      </c>
      <c r="H197" s="18">
        <v>426001.4</v>
      </c>
      <c r="I197" s="18">
        <v>8796.44</v>
      </c>
      <c r="J197" s="18"/>
      <c r="K197" s="18"/>
      <c r="L197" s="19">
        <f>SUM(F197:K197)</f>
        <v>1775134.0299999998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94602.78</v>
      </c>
      <c r="G199" s="18">
        <v>17780.939999999999</v>
      </c>
      <c r="H199" s="18">
        <v>22854</v>
      </c>
      <c r="I199" s="18">
        <v>6215.97</v>
      </c>
      <c r="J199" s="18">
        <v>161</v>
      </c>
      <c r="K199" s="18">
        <v>2607.58</v>
      </c>
      <c r="L199" s="19">
        <f>SUM(F199:K199)</f>
        <v>144222.26999999999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229176.42</v>
      </c>
      <c r="G201" s="18">
        <v>114512.78</v>
      </c>
      <c r="H201" s="18">
        <v>225595.71</v>
      </c>
      <c r="I201" s="18">
        <v>1488.77</v>
      </c>
      <c r="J201" s="18"/>
      <c r="K201" s="18"/>
      <c r="L201" s="19">
        <f t="shared" ref="L201:L207" si="0">SUM(F201:K201)</f>
        <v>570773.68000000005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37326</v>
      </c>
      <c r="G202" s="18">
        <v>70119.88</v>
      </c>
      <c r="H202" s="18"/>
      <c r="I202" s="18">
        <v>5707.53</v>
      </c>
      <c r="J202" s="18"/>
      <c r="K202" s="18"/>
      <c r="L202" s="19">
        <f t="shared" si="0"/>
        <v>113153.41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62038.74</v>
      </c>
      <c r="G203" s="18">
        <v>14817.84</v>
      </c>
      <c r="H203" s="18">
        <v>221484.12</v>
      </c>
      <c r="I203" s="18">
        <v>1215.75</v>
      </c>
      <c r="J203" s="18"/>
      <c r="K203" s="18">
        <v>4078.37</v>
      </c>
      <c r="L203" s="19">
        <f t="shared" si="0"/>
        <v>303634.82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232411.27</v>
      </c>
      <c r="G204" s="18">
        <v>122649.15</v>
      </c>
      <c r="H204" s="18">
        <v>7627.82</v>
      </c>
      <c r="I204" s="18">
        <v>3602.97</v>
      </c>
      <c r="J204" s="18"/>
      <c r="K204" s="18">
        <v>1245</v>
      </c>
      <c r="L204" s="19">
        <f t="shared" si="0"/>
        <v>367536.20999999996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432</v>
      </c>
      <c r="I205" s="18"/>
      <c r="J205" s="18"/>
      <c r="K205" s="18"/>
      <c r="L205" s="19">
        <f t="shared" si="0"/>
        <v>432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184836.07</v>
      </c>
      <c r="G206" s="18">
        <v>95896.86</v>
      </c>
      <c r="H206" s="18">
        <v>146583.67999999999</v>
      </c>
      <c r="I206" s="18">
        <v>132425.48000000001</v>
      </c>
      <c r="J206" s="18">
        <v>841</v>
      </c>
      <c r="K206" s="18"/>
      <c r="L206" s="19">
        <f t="shared" si="0"/>
        <v>560583.09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175713.72</v>
      </c>
      <c r="I207" s="18"/>
      <c r="J207" s="18"/>
      <c r="K207" s="18"/>
      <c r="L207" s="19">
        <f t="shared" si="0"/>
        <v>175713.72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3788125.1699999995</v>
      </c>
      <c r="G210" s="41">
        <f t="shared" si="1"/>
        <v>1768349.21</v>
      </c>
      <c r="H210" s="41">
        <f t="shared" si="1"/>
        <v>1246524.79</v>
      </c>
      <c r="I210" s="41">
        <f t="shared" si="1"/>
        <v>222245.92</v>
      </c>
      <c r="J210" s="41">
        <f t="shared" si="1"/>
        <v>8162.71</v>
      </c>
      <c r="K210" s="41">
        <f t="shared" si="1"/>
        <v>12621.099999999999</v>
      </c>
      <c r="L210" s="41">
        <f t="shared" si="1"/>
        <v>7046028.8999999985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52641.37</v>
      </c>
      <c r="G252" s="18">
        <v>5082.3</v>
      </c>
      <c r="H252" s="18">
        <v>3995</v>
      </c>
      <c r="I252" s="18">
        <v>532</v>
      </c>
      <c r="J252" s="18"/>
      <c r="K252" s="18"/>
      <c r="L252" s="19">
        <f t="shared" si="6"/>
        <v>62250.670000000006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369173.89</v>
      </c>
      <c r="I254" s="18"/>
      <c r="J254" s="18"/>
      <c r="K254" s="18"/>
      <c r="L254" s="19">
        <f t="shared" si="6"/>
        <v>369173.89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52641.37</v>
      </c>
      <c r="G255" s="41">
        <f t="shared" si="7"/>
        <v>5082.3</v>
      </c>
      <c r="H255" s="41">
        <f t="shared" si="7"/>
        <v>373168.89</v>
      </c>
      <c r="I255" s="41">
        <f t="shared" si="7"/>
        <v>532</v>
      </c>
      <c r="J255" s="41">
        <f t="shared" si="7"/>
        <v>0</v>
      </c>
      <c r="K255" s="41">
        <f t="shared" si="7"/>
        <v>0</v>
      </c>
      <c r="L255" s="41">
        <f>SUM(F255:K255)</f>
        <v>431424.56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3840766.5399999996</v>
      </c>
      <c r="G256" s="41">
        <f t="shared" si="8"/>
        <v>1773431.51</v>
      </c>
      <c r="H256" s="41">
        <f t="shared" si="8"/>
        <v>1619693.6800000002</v>
      </c>
      <c r="I256" s="41">
        <f t="shared" si="8"/>
        <v>222777.92</v>
      </c>
      <c r="J256" s="41">
        <f t="shared" si="8"/>
        <v>8162.71</v>
      </c>
      <c r="K256" s="41">
        <f t="shared" si="8"/>
        <v>12621.099999999999</v>
      </c>
      <c r="L256" s="41">
        <f t="shared" si="8"/>
        <v>7477453.4599999981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694639</v>
      </c>
      <c r="L259" s="19">
        <f>SUM(F259:K259)</f>
        <v>694639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85605.18</v>
      </c>
      <c r="L260" s="19">
        <f>SUM(F260:K260)</f>
        <v>85605.18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1817.46</v>
      </c>
      <c r="L262" s="19">
        <f>SUM(F262:K262)</f>
        <v>1817.46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782061.6399999999</v>
      </c>
      <c r="L269" s="41">
        <f t="shared" si="9"/>
        <v>782061.6399999999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3840766.5399999996</v>
      </c>
      <c r="G270" s="42">
        <f t="shared" si="11"/>
        <v>1773431.51</v>
      </c>
      <c r="H270" s="42">
        <f t="shared" si="11"/>
        <v>1619693.6800000002</v>
      </c>
      <c r="I270" s="42">
        <f t="shared" si="11"/>
        <v>222777.92</v>
      </c>
      <c r="J270" s="42">
        <f t="shared" si="11"/>
        <v>8162.71</v>
      </c>
      <c r="K270" s="42">
        <f t="shared" si="11"/>
        <v>794682.73999999987</v>
      </c>
      <c r="L270" s="42">
        <f t="shared" si="11"/>
        <v>8259515.0999999978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10000</v>
      </c>
      <c r="G275" s="18">
        <v>4530.8500000000004</v>
      </c>
      <c r="H275" s="18"/>
      <c r="I275" s="18">
        <v>769.92</v>
      </c>
      <c r="J275" s="18">
        <v>4663.58</v>
      </c>
      <c r="K275" s="18"/>
      <c r="L275" s="19">
        <f>SUM(F275:K275)</f>
        <v>19964.349999999999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>
        <v>801.93</v>
      </c>
      <c r="J276" s="18">
        <v>473.01</v>
      </c>
      <c r="K276" s="18"/>
      <c r="L276" s="19">
        <f>SUM(F276:K276)</f>
        <v>1274.94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156155.63</v>
      </c>
      <c r="G280" s="18">
        <v>43726.82</v>
      </c>
      <c r="H280" s="18">
        <v>7731.61</v>
      </c>
      <c r="I280" s="18">
        <v>29815.57</v>
      </c>
      <c r="J280" s="18">
        <v>1406.95</v>
      </c>
      <c r="K280" s="18"/>
      <c r="L280" s="19">
        <f t="shared" ref="L280:L286" si="12">SUM(F280:K280)</f>
        <v>238836.58000000002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19304.2</v>
      </c>
      <c r="I281" s="18"/>
      <c r="J281" s="18"/>
      <c r="K281" s="18"/>
      <c r="L281" s="19">
        <f t="shared" si="12"/>
        <v>19304.2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11104.98</v>
      </c>
      <c r="L284" s="19">
        <f t="shared" si="12"/>
        <v>11104.98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2450</v>
      </c>
      <c r="I286" s="18"/>
      <c r="J286" s="18"/>
      <c r="K286" s="18"/>
      <c r="L286" s="19">
        <f t="shared" si="12"/>
        <v>2450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>
        <v>109.66</v>
      </c>
      <c r="L287" s="19">
        <f>SUM(F287:K287)</f>
        <v>109.66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166155.63</v>
      </c>
      <c r="G289" s="42">
        <f t="shared" si="13"/>
        <v>48257.67</v>
      </c>
      <c r="H289" s="42">
        <f t="shared" si="13"/>
        <v>29485.81</v>
      </c>
      <c r="I289" s="42">
        <f t="shared" si="13"/>
        <v>31387.42</v>
      </c>
      <c r="J289" s="42">
        <f t="shared" si="13"/>
        <v>6543.54</v>
      </c>
      <c r="K289" s="42">
        <f t="shared" si="13"/>
        <v>11214.64</v>
      </c>
      <c r="L289" s="41">
        <f t="shared" si="13"/>
        <v>293044.70999999996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166155.63</v>
      </c>
      <c r="G337" s="41">
        <f t="shared" si="20"/>
        <v>48257.67</v>
      </c>
      <c r="H337" s="41">
        <f t="shared" si="20"/>
        <v>29485.81</v>
      </c>
      <c r="I337" s="41">
        <f t="shared" si="20"/>
        <v>31387.42</v>
      </c>
      <c r="J337" s="41">
        <f t="shared" si="20"/>
        <v>6543.54</v>
      </c>
      <c r="K337" s="41">
        <f t="shared" si="20"/>
        <v>11214.64</v>
      </c>
      <c r="L337" s="41">
        <f t="shared" si="20"/>
        <v>293044.70999999996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166155.63</v>
      </c>
      <c r="G351" s="41">
        <f>G337</f>
        <v>48257.67</v>
      </c>
      <c r="H351" s="41">
        <f>H337</f>
        <v>29485.81</v>
      </c>
      <c r="I351" s="41">
        <f>I337</f>
        <v>31387.42</v>
      </c>
      <c r="J351" s="41">
        <f>J337</f>
        <v>6543.54</v>
      </c>
      <c r="K351" s="47">
        <f>K337+K350</f>
        <v>11214.64</v>
      </c>
      <c r="L351" s="41">
        <f>L337+L350</f>
        <v>293044.70999999996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173304</v>
      </c>
      <c r="I357" s="18"/>
      <c r="J357" s="18"/>
      <c r="K357" s="18"/>
      <c r="L357" s="13">
        <f>SUM(F357:K357)</f>
        <v>173304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173304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173304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28.35</v>
      </c>
      <c r="I395" s="18"/>
      <c r="J395" s="24" t="s">
        <v>289</v>
      </c>
      <c r="K395" s="24" t="s">
        <v>289</v>
      </c>
      <c r="L395" s="56">
        <f t="shared" si="26"/>
        <v>28.35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22.33</v>
      </c>
      <c r="I396" s="18"/>
      <c r="J396" s="24" t="s">
        <v>289</v>
      </c>
      <c r="K396" s="24" t="s">
        <v>289</v>
      </c>
      <c r="L396" s="56">
        <f t="shared" si="26"/>
        <v>22.33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50.68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50.68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50.68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50.68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25000</v>
      </c>
      <c r="L422" s="56">
        <f t="shared" si="29"/>
        <v>25000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25000</v>
      </c>
      <c r="L426" s="47">
        <f t="shared" si="30"/>
        <v>25000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25000</v>
      </c>
      <c r="L433" s="47">
        <f t="shared" si="32"/>
        <v>25000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>
        <v>86645.72</v>
      </c>
      <c r="I439" s="56">
        <f t="shared" si="33"/>
        <v>86645.72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86645.72</v>
      </c>
      <c r="I445" s="13">
        <f>SUM(I438:I444)</f>
        <v>86645.72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>
        <v>86645.72</v>
      </c>
      <c r="I458" s="56">
        <f t="shared" si="34"/>
        <v>86645.72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86645.72</v>
      </c>
      <c r="I459" s="83">
        <f>SUM(I453:I458)</f>
        <v>86645.72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86645.72</v>
      </c>
      <c r="I460" s="42">
        <f>I451+I459</f>
        <v>86645.72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222902.8</v>
      </c>
      <c r="G464" s="18">
        <v>1622.05</v>
      </c>
      <c r="H464" s="18">
        <v>5971.09</v>
      </c>
      <c r="I464" s="18"/>
      <c r="J464" s="18">
        <v>111595.04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8254680.3200000003</v>
      </c>
      <c r="G467" s="18">
        <v>171681.95</v>
      </c>
      <c r="H467" s="18">
        <v>321459.90000000002</v>
      </c>
      <c r="I467" s="18"/>
      <c r="J467" s="18">
        <v>50.68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8254680.3200000003</v>
      </c>
      <c r="G469" s="53">
        <f>SUM(G467:G468)</f>
        <v>171681.95</v>
      </c>
      <c r="H469" s="53">
        <f>SUM(H467:H468)</f>
        <v>321459.90000000002</v>
      </c>
      <c r="I469" s="53">
        <f>SUM(I467:I468)</f>
        <v>0</v>
      </c>
      <c r="J469" s="53">
        <f>SUM(J467:J468)</f>
        <v>50.68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8259515.0999999996</v>
      </c>
      <c r="G471" s="18">
        <v>173304</v>
      </c>
      <c r="H471" s="18">
        <v>293044.71000000002</v>
      </c>
      <c r="I471" s="18"/>
      <c r="J471" s="18">
        <v>25000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8259515.0999999996</v>
      </c>
      <c r="G473" s="53">
        <f>SUM(G471:G472)</f>
        <v>173304</v>
      </c>
      <c r="H473" s="53">
        <f>SUM(H471:H472)</f>
        <v>293044.71000000002</v>
      </c>
      <c r="I473" s="53">
        <f>SUM(I471:I472)</f>
        <v>0</v>
      </c>
      <c r="J473" s="53">
        <f>SUM(J471:J472)</f>
        <v>25000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218068.02000000142</v>
      </c>
      <c r="G475" s="53">
        <f>(G464+G469)- G473</f>
        <v>0</v>
      </c>
      <c r="H475" s="53">
        <f>(H464+H469)- H473</f>
        <v>34386.280000000028</v>
      </c>
      <c r="I475" s="53">
        <f>(I464+I469)- I473</f>
        <v>0</v>
      </c>
      <c r="J475" s="53">
        <f>(J464+J469)- J473</f>
        <v>86645.719999999987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3494639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2.69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3494639</v>
      </c>
      <c r="G494" s="18"/>
      <c r="H494" s="18"/>
      <c r="I494" s="18"/>
      <c r="J494" s="18"/>
      <c r="K494" s="53">
        <f>SUM(F494:J494)</f>
        <v>3494639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694639</v>
      </c>
      <c r="G496" s="18"/>
      <c r="H496" s="18"/>
      <c r="I496" s="18"/>
      <c r="J496" s="18"/>
      <c r="K496" s="53">
        <f t="shared" si="35"/>
        <v>694639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2800000</v>
      </c>
      <c r="G497" s="205"/>
      <c r="H497" s="205"/>
      <c r="I497" s="205"/>
      <c r="J497" s="205"/>
      <c r="K497" s="206">
        <f t="shared" si="35"/>
        <v>2800000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152627</v>
      </c>
      <c r="G498" s="18"/>
      <c r="H498" s="18"/>
      <c r="I498" s="18"/>
      <c r="J498" s="18"/>
      <c r="K498" s="53">
        <f t="shared" si="35"/>
        <v>152627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2952627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2952627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700000</v>
      </c>
      <c r="G500" s="205"/>
      <c r="H500" s="205"/>
      <c r="I500" s="205"/>
      <c r="J500" s="205"/>
      <c r="K500" s="206">
        <f t="shared" si="35"/>
        <v>700000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66951</v>
      </c>
      <c r="G501" s="18"/>
      <c r="H501" s="18"/>
      <c r="I501" s="18"/>
      <c r="J501" s="18"/>
      <c r="K501" s="53">
        <f t="shared" si="35"/>
        <v>66951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766951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766951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901059.76</v>
      </c>
      <c r="G520" s="18">
        <v>438759.71</v>
      </c>
      <c r="H520" s="18">
        <v>425161.4</v>
      </c>
      <c r="I520" s="18">
        <v>896.44</v>
      </c>
      <c r="J520" s="18"/>
      <c r="K520" s="18"/>
      <c r="L520" s="88">
        <f>SUM(F520:K520)</f>
        <v>1765877.31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901059.76</v>
      </c>
      <c r="G523" s="108">
        <f t="shared" ref="G523:L523" si="36">SUM(G520:G522)</f>
        <v>438759.71</v>
      </c>
      <c r="H523" s="108">
        <f t="shared" si="36"/>
        <v>425161.4</v>
      </c>
      <c r="I523" s="108">
        <f t="shared" si="36"/>
        <v>896.44</v>
      </c>
      <c r="J523" s="108">
        <f t="shared" si="36"/>
        <v>0</v>
      </c>
      <c r="K523" s="108">
        <f t="shared" si="36"/>
        <v>0</v>
      </c>
      <c r="L523" s="89">
        <f t="shared" si="36"/>
        <v>1765877.31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172129.22</v>
      </c>
      <c r="G525" s="18">
        <v>86782.97</v>
      </c>
      <c r="H525" s="18">
        <v>167313.20000000001</v>
      </c>
      <c r="I525" s="18">
        <v>1129.28</v>
      </c>
      <c r="J525" s="18"/>
      <c r="K525" s="18"/>
      <c r="L525" s="88">
        <f>SUM(F525:K525)</f>
        <v>427354.67000000004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172129.22</v>
      </c>
      <c r="G528" s="89">
        <f t="shared" ref="G528:L528" si="37">SUM(G525:G527)</f>
        <v>86782.97</v>
      </c>
      <c r="H528" s="89">
        <f t="shared" si="37"/>
        <v>167313.20000000001</v>
      </c>
      <c r="I528" s="89">
        <f t="shared" si="37"/>
        <v>1129.28</v>
      </c>
      <c r="J528" s="89">
        <f t="shared" si="37"/>
        <v>0</v>
      </c>
      <c r="K528" s="89">
        <f t="shared" si="37"/>
        <v>0</v>
      </c>
      <c r="L528" s="89">
        <f t="shared" si="37"/>
        <v>427354.67000000004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17001.11</v>
      </c>
      <c r="G530" s="18">
        <v>6307.81</v>
      </c>
      <c r="H530" s="18">
        <v>295.5</v>
      </c>
      <c r="I530" s="18"/>
      <c r="J530" s="18"/>
      <c r="K530" s="18"/>
      <c r="L530" s="88">
        <f>SUM(F530:K530)</f>
        <v>23604.420000000002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17001.11</v>
      </c>
      <c r="G533" s="89">
        <f t="shared" ref="G533:L533" si="38">SUM(G530:G532)</f>
        <v>6307.81</v>
      </c>
      <c r="H533" s="89">
        <f t="shared" si="38"/>
        <v>295.5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23604.420000000002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17448.740000000002</v>
      </c>
      <c r="I540" s="18"/>
      <c r="J540" s="18"/>
      <c r="K540" s="18"/>
      <c r="L540" s="88">
        <f>SUM(F540:K540)</f>
        <v>17448.740000000002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17448.740000000002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17448.740000000002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1090190.0900000001</v>
      </c>
      <c r="G544" s="89">
        <f t="shared" ref="G544:L544" si="41">G523+G528+G533+G538+G543</f>
        <v>531850.49000000011</v>
      </c>
      <c r="H544" s="89">
        <f t="shared" si="41"/>
        <v>610218.84000000008</v>
      </c>
      <c r="I544" s="89">
        <f t="shared" si="41"/>
        <v>2025.72</v>
      </c>
      <c r="J544" s="89">
        <f t="shared" si="41"/>
        <v>0</v>
      </c>
      <c r="K544" s="89">
        <f t="shared" si="41"/>
        <v>0</v>
      </c>
      <c r="L544" s="89">
        <f t="shared" si="41"/>
        <v>2234285.14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1765877.31</v>
      </c>
      <c r="G548" s="87">
        <f>L525</f>
        <v>427354.67000000004</v>
      </c>
      <c r="H548" s="87">
        <f>L530</f>
        <v>23604.420000000002</v>
      </c>
      <c r="I548" s="87">
        <f>L535</f>
        <v>0</v>
      </c>
      <c r="J548" s="87">
        <f>L540</f>
        <v>17448.740000000002</v>
      </c>
      <c r="K548" s="87">
        <f>SUM(F548:J548)</f>
        <v>2234285.14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1765877.31</v>
      </c>
      <c r="G551" s="89">
        <f t="shared" si="42"/>
        <v>427354.67000000004</v>
      </c>
      <c r="H551" s="89">
        <f t="shared" si="42"/>
        <v>23604.420000000002</v>
      </c>
      <c r="I551" s="89">
        <f t="shared" si="42"/>
        <v>0</v>
      </c>
      <c r="J551" s="89">
        <f t="shared" si="42"/>
        <v>17448.740000000002</v>
      </c>
      <c r="K551" s="89">
        <f t="shared" si="42"/>
        <v>2234285.14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480</v>
      </c>
      <c r="G561" s="18">
        <v>36.72</v>
      </c>
      <c r="H561" s="18">
        <v>840</v>
      </c>
      <c r="I561" s="18"/>
      <c r="J561" s="18"/>
      <c r="K561" s="18"/>
      <c r="L561" s="88">
        <f>SUM(F561:K561)</f>
        <v>1356.72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480</v>
      </c>
      <c r="G564" s="89">
        <f t="shared" si="44"/>
        <v>36.72</v>
      </c>
      <c r="H564" s="89">
        <f t="shared" si="44"/>
        <v>840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1356.72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480</v>
      </c>
      <c r="G570" s="89">
        <f t="shared" ref="G570:L570" si="46">G559+G564+G569</f>
        <v>36.72</v>
      </c>
      <c r="H570" s="89">
        <f t="shared" si="46"/>
        <v>840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1356.72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495</v>
      </c>
      <c r="G578" s="18"/>
      <c r="H578" s="18"/>
      <c r="I578" s="87">
        <f t="shared" si="47"/>
        <v>495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225391.91</v>
      </c>
      <c r="G581" s="18"/>
      <c r="H581" s="18"/>
      <c r="I581" s="87">
        <f t="shared" si="47"/>
        <v>225391.91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117133.24</v>
      </c>
      <c r="G582" s="18"/>
      <c r="H582" s="18"/>
      <c r="I582" s="87">
        <f t="shared" si="47"/>
        <v>117133.24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108706.5</v>
      </c>
      <c r="I590" s="18"/>
      <c r="J590" s="18"/>
      <c r="K590" s="104">
        <f t="shared" ref="K590:K596" si="48">SUM(H590:J590)</f>
        <v>108706.5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17448.740000000002</v>
      </c>
      <c r="I591" s="18"/>
      <c r="J591" s="18"/>
      <c r="K591" s="104">
        <f t="shared" si="48"/>
        <v>17448.740000000002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16495</v>
      </c>
      <c r="I593" s="18"/>
      <c r="J593" s="18"/>
      <c r="K593" s="104">
        <f t="shared" si="48"/>
        <v>16495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33063.480000000003</v>
      </c>
      <c r="I594" s="18"/>
      <c r="J594" s="18"/>
      <c r="K594" s="104">
        <f t="shared" si="48"/>
        <v>33063.480000000003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175713.72</v>
      </c>
      <c r="I597" s="108">
        <f>SUM(I590:I596)</f>
        <v>0</v>
      </c>
      <c r="J597" s="108">
        <f>SUM(J590:J596)</f>
        <v>0</v>
      </c>
      <c r="K597" s="108">
        <f>SUM(K590:K596)</f>
        <v>175713.72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14706.25</v>
      </c>
      <c r="I603" s="18"/>
      <c r="J603" s="18"/>
      <c r="K603" s="104">
        <f>SUM(H603:J603)</f>
        <v>14706.25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14706.25</v>
      </c>
      <c r="I604" s="108">
        <f>SUM(I601:I603)</f>
        <v>0</v>
      </c>
      <c r="J604" s="108">
        <f>SUM(J601:J603)</f>
        <v>0</v>
      </c>
      <c r="K604" s="108">
        <f>SUM(K601:K603)</f>
        <v>14706.25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347493.57999999996</v>
      </c>
      <c r="H616" s="109">
        <f>SUM(F51)</f>
        <v>347493.58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12659</v>
      </c>
      <c r="H617" s="109">
        <f>SUM(G51)</f>
        <v>12659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46466.55</v>
      </c>
      <c r="H618" s="109">
        <f>SUM(H51)</f>
        <v>46466.55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86645.72</v>
      </c>
      <c r="H620" s="109">
        <f>SUM(J51)</f>
        <v>86645.72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218068.02000000002</v>
      </c>
      <c r="H621" s="109">
        <f>F475</f>
        <v>218068.02000000142</v>
      </c>
      <c r="I621" s="121" t="s">
        <v>101</v>
      </c>
      <c r="J621" s="109">
        <f t="shared" ref="J621:J654" si="50">G621-H621</f>
        <v>-1.3969838619232178E-9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34386.28</v>
      </c>
      <c r="H623" s="109">
        <f>H475</f>
        <v>34386.280000000028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86645.72</v>
      </c>
      <c r="H625" s="109">
        <f>J475</f>
        <v>86645.719999999987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8254680.3199999994</v>
      </c>
      <c r="H626" s="104">
        <f>SUM(F467)</f>
        <v>8254680.3200000003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171681.94999999998</v>
      </c>
      <c r="H627" s="104">
        <f>SUM(G467)</f>
        <v>171681.95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321459.90000000002</v>
      </c>
      <c r="H628" s="104">
        <f>SUM(H467)</f>
        <v>321459.90000000002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50.68</v>
      </c>
      <c r="H630" s="104">
        <f>SUM(J467)</f>
        <v>50.68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8259515.0999999978</v>
      </c>
      <c r="H631" s="104">
        <f>SUM(F471)</f>
        <v>8259515.0999999996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293044.70999999996</v>
      </c>
      <c r="H632" s="104">
        <f>SUM(H471)</f>
        <v>293044.71000000002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173304</v>
      </c>
      <c r="H634" s="104">
        <f>SUM(G471)</f>
        <v>173304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50.68</v>
      </c>
      <c r="H636" s="164">
        <f>SUM(J467)</f>
        <v>50.68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25000</v>
      </c>
      <c r="H637" s="164">
        <f>SUM(J471)</f>
        <v>25000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86645.72</v>
      </c>
      <c r="H640" s="104">
        <f>SUM(H460)</f>
        <v>86645.72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86645.72</v>
      </c>
      <c r="H641" s="104">
        <f>SUM(I460)</f>
        <v>86645.72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50.68</v>
      </c>
      <c r="H643" s="104">
        <f>H407</f>
        <v>50.68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50.68</v>
      </c>
      <c r="H645" s="104">
        <f>L407</f>
        <v>50.68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175713.72</v>
      </c>
      <c r="H646" s="104">
        <f>L207+L225+L243</f>
        <v>175713.72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14706.25</v>
      </c>
      <c r="H647" s="104">
        <f>(J256+J337)-(J254+J335)</f>
        <v>14706.25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175713.72</v>
      </c>
      <c r="H648" s="104">
        <f>H597</f>
        <v>175713.72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1817.46</v>
      </c>
      <c r="H651" s="104">
        <f>K262+K344</f>
        <v>1817.46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7512377.6099999985</v>
      </c>
      <c r="G659" s="19">
        <f>(L228+L308+L358)</f>
        <v>0</v>
      </c>
      <c r="H659" s="19">
        <f>(L246+L327+L359)</f>
        <v>0</v>
      </c>
      <c r="I659" s="19">
        <f>SUM(F659:H659)</f>
        <v>7512377.6099999985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70436.13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70436.13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178163.72</v>
      </c>
      <c r="G661" s="19">
        <f>(L225+L305)-(J225+J305)</f>
        <v>0</v>
      </c>
      <c r="H661" s="19">
        <f>(L243+L324)-(J243+J324)</f>
        <v>0</v>
      </c>
      <c r="I661" s="19">
        <f>SUM(F661:H661)</f>
        <v>178163.72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357726.4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357726.4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6906051.3599999985</v>
      </c>
      <c r="G663" s="19">
        <f>G659-SUM(G660:G662)</f>
        <v>0</v>
      </c>
      <c r="H663" s="19">
        <f>H659-SUM(H660:H662)</f>
        <v>0</v>
      </c>
      <c r="I663" s="19">
        <f>I659-SUM(I660:I662)</f>
        <v>6906051.3599999985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374.07</v>
      </c>
      <c r="G664" s="249"/>
      <c r="H664" s="249"/>
      <c r="I664" s="19">
        <f>SUM(F664:H664)</f>
        <v>374.07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18461.919999999998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18461.919999999998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18461.919999999998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18461.919999999998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PLYMOUTH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2056194.13</v>
      </c>
      <c r="C9" s="230">
        <f>'DOE25'!G196+'DOE25'!G214+'DOE25'!G232+'DOE25'!G275+'DOE25'!G294+'DOE25'!G313</f>
        <v>898306.17999999993</v>
      </c>
    </row>
    <row r="10" spans="1:3">
      <c r="A10" t="s">
        <v>779</v>
      </c>
      <c r="B10" s="241">
        <v>2009245.28</v>
      </c>
      <c r="C10" s="241">
        <v>894053.5</v>
      </c>
    </row>
    <row r="11" spans="1:3">
      <c r="A11" t="s">
        <v>780</v>
      </c>
      <c r="B11" s="241">
        <v>3217.5</v>
      </c>
      <c r="C11" s="241">
        <v>351.27</v>
      </c>
    </row>
    <row r="12" spans="1:3">
      <c r="A12" t="s">
        <v>781</v>
      </c>
      <c r="B12" s="241">
        <v>43731.35</v>
      </c>
      <c r="C12" s="241">
        <v>3901.41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2056194.1300000001</v>
      </c>
      <c r="C13" s="232">
        <f>SUM(C10:C12)</f>
        <v>898306.18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901539.76</v>
      </c>
      <c r="C18" s="230">
        <f>'DOE25'!G197+'DOE25'!G215+'DOE25'!G233+'DOE25'!G276+'DOE25'!G295+'DOE25'!G314</f>
        <v>438796.43</v>
      </c>
    </row>
    <row r="19" spans="1:3">
      <c r="A19" t="s">
        <v>779</v>
      </c>
      <c r="B19" s="241">
        <v>444392.1</v>
      </c>
      <c r="C19" s="241">
        <v>210393.91</v>
      </c>
    </row>
    <row r="20" spans="1:3">
      <c r="A20" t="s">
        <v>780</v>
      </c>
      <c r="B20" s="241">
        <v>427210.92</v>
      </c>
      <c r="C20" s="241">
        <v>219372.11</v>
      </c>
    </row>
    <row r="21" spans="1:3">
      <c r="A21" t="s">
        <v>781</v>
      </c>
      <c r="B21" s="241">
        <v>29936.74</v>
      </c>
      <c r="C21" s="241">
        <v>9030.41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901539.76</v>
      </c>
      <c r="C22" s="232">
        <f>SUM(C19:C21)</f>
        <v>438796.43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94602.78</v>
      </c>
      <c r="C36" s="236">
        <f>'DOE25'!G199+'DOE25'!G217+'DOE25'!G235+'DOE25'!G278+'DOE25'!G297+'DOE25'!G316</f>
        <v>17780.939999999999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94602.78</v>
      </c>
      <c r="C39" s="241">
        <v>17780.939999999999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94602.78</v>
      </c>
      <c r="C40" s="232">
        <f>SUM(C37:C39)</f>
        <v>17780.939999999999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PLYMOUTH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4954201.9699999988</v>
      </c>
      <c r="D5" s="20">
        <f>SUM('DOE25'!L196:L199)+SUM('DOE25'!L214:L217)+SUM('DOE25'!L232:L235)-F5-G5</f>
        <v>4939582.5299999984</v>
      </c>
      <c r="E5" s="244"/>
      <c r="F5" s="256">
        <f>SUM('DOE25'!J196:J199)+SUM('DOE25'!J214:J217)+SUM('DOE25'!J232:J235)</f>
        <v>7321.71</v>
      </c>
      <c r="G5" s="53">
        <f>SUM('DOE25'!K196:K199)+SUM('DOE25'!K214:K217)+SUM('DOE25'!K232:K235)</f>
        <v>7297.73</v>
      </c>
      <c r="H5" s="260"/>
    </row>
    <row r="6" spans="1:9">
      <c r="A6" s="32">
        <v>2100</v>
      </c>
      <c r="B6" t="s">
        <v>801</v>
      </c>
      <c r="C6" s="246">
        <f t="shared" si="0"/>
        <v>570773.68000000005</v>
      </c>
      <c r="D6" s="20">
        <f>'DOE25'!L201+'DOE25'!L219+'DOE25'!L237-F6-G6</f>
        <v>570773.68000000005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113153.41</v>
      </c>
      <c r="D7" s="20">
        <f>'DOE25'!L202+'DOE25'!L220+'DOE25'!L238-F7-G7</f>
        <v>113153.41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191851.9</v>
      </c>
      <c r="D8" s="244"/>
      <c r="E8" s="20">
        <f>'DOE25'!L203+'DOE25'!L221+'DOE25'!L239-F8-G8-D9-D11</f>
        <v>187773.53</v>
      </c>
      <c r="F8" s="256">
        <f>'DOE25'!J203+'DOE25'!J221+'DOE25'!J239</f>
        <v>0</v>
      </c>
      <c r="G8" s="53">
        <f>'DOE25'!K203+'DOE25'!K221+'DOE25'!K239</f>
        <v>4078.37</v>
      </c>
      <c r="H8" s="260"/>
    </row>
    <row r="9" spans="1:9">
      <c r="A9" s="32">
        <v>2310</v>
      </c>
      <c r="B9" t="s">
        <v>818</v>
      </c>
      <c r="C9" s="246">
        <f t="shared" si="0"/>
        <v>31856.52</v>
      </c>
      <c r="D9" s="245">
        <v>31856.52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12575</v>
      </c>
      <c r="D10" s="244"/>
      <c r="E10" s="245">
        <v>12575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79926.399999999994</v>
      </c>
      <c r="D11" s="245">
        <v>79926.399999999994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367536.20999999996</v>
      </c>
      <c r="D12" s="20">
        <f>'DOE25'!L204+'DOE25'!L222+'DOE25'!L240-F12-G12</f>
        <v>366291.20999999996</v>
      </c>
      <c r="E12" s="244"/>
      <c r="F12" s="256">
        <f>'DOE25'!J204+'DOE25'!J222+'DOE25'!J240</f>
        <v>0</v>
      </c>
      <c r="G12" s="53">
        <f>'DOE25'!K204+'DOE25'!K222+'DOE25'!K240</f>
        <v>1245</v>
      </c>
      <c r="H12" s="260"/>
    </row>
    <row r="13" spans="1:9">
      <c r="A13" s="32">
        <v>2500</v>
      </c>
      <c r="B13" t="s">
        <v>803</v>
      </c>
      <c r="C13" s="246">
        <f t="shared" si="0"/>
        <v>432</v>
      </c>
      <c r="D13" s="244"/>
      <c r="E13" s="20">
        <f>'DOE25'!L205+'DOE25'!L223+'DOE25'!L241-F13-G13</f>
        <v>432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560583.09</v>
      </c>
      <c r="D14" s="20">
        <f>'DOE25'!L206+'DOE25'!L224+'DOE25'!L242-F14-G14</f>
        <v>559742.09</v>
      </c>
      <c r="E14" s="244"/>
      <c r="F14" s="256">
        <f>'DOE25'!J206+'DOE25'!J224+'DOE25'!J242</f>
        <v>841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175713.72</v>
      </c>
      <c r="D15" s="20">
        <f>'DOE25'!L207+'DOE25'!L225+'DOE25'!L243-F15-G15</f>
        <v>175713.72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62250.670000000006</v>
      </c>
      <c r="D19" s="20">
        <f>'DOE25'!L252-F19-G19</f>
        <v>62250.670000000006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369173.89</v>
      </c>
      <c r="D22" s="244"/>
      <c r="E22" s="244"/>
      <c r="F22" s="256">
        <f>'DOE25'!L254+'DOE25'!L335</f>
        <v>369173.89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780244.17999999993</v>
      </c>
      <c r="D25" s="244"/>
      <c r="E25" s="244"/>
      <c r="F25" s="259"/>
      <c r="G25" s="257"/>
      <c r="H25" s="258">
        <f>'DOE25'!L259+'DOE25'!L260+'DOE25'!L340+'DOE25'!L341</f>
        <v>780244.17999999993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173304</v>
      </c>
      <c r="D29" s="20">
        <f>'DOE25'!L357+'DOE25'!L358+'DOE25'!L359-'DOE25'!I366-F29-G29</f>
        <v>173304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293044.70999999996</v>
      </c>
      <c r="D31" s="20">
        <f>'DOE25'!L289+'DOE25'!L308+'DOE25'!L327+'DOE25'!L332+'DOE25'!L333+'DOE25'!L334-F31-G31</f>
        <v>275286.52999999997</v>
      </c>
      <c r="E31" s="244"/>
      <c r="F31" s="256">
        <f>'DOE25'!J289+'DOE25'!J308+'DOE25'!J327+'DOE25'!J332+'DOE25'!J333+'DOE25'!J334</f>
        <v>6543.54</v>
      </c>
      <c r="G31" s="53">
        <f>'DOE25'!K289+'DOE25'!K308+'DOE25'!K327+'DOE25'!K332+'DOE25'!K333+'DOE25'!K334</f>
        <v>11214.64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7347880.7599999979</v>
      </c>
      <c r="E33" s="247">
        <f>SUM(E5:E31)</f>
        <v>200780.53</v>
      </c>
      <c r="F33" s="247">
        <f>SUM(F5:F31)</f>
        <v>383880.14</v>
      </c>
      <c r="G33" s="247">
        <f>SUM(G5:G31)</f>
        <v>23835.739999999998</v>
      </c>
      <c r="H33" s="247">
        <f>SUM(H5:H31)</f>
        <v>780244.17999999993</v>
      </c>
    </row>
    <row r="35" spans="2:8" ht="12" thickBot="1">
      <c r="B35" s="254" t="s">
        <v>847</v>
      </c>
      <c r="D35" s="255">
        <f>E33</f>
        <v>200780.53</v>
      </c>
      <c r="E35" s="250"/>
    </row>
    <row r="36" spans="2:8" ht="12" thickTop="1">
      <c r="B36" t="s">
        <v>815</v>
      </c>
      <c r="D36" s="20">
        <f>D33</f>
        <v>7347880.7599999979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PLYMOUTH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220400.77</v>
      </c>
      <c r="D8" s="95">
        <f>'DOE25'!G9</f>
        <v>-5379.22</v>
      </c>
      <c r="E8" s="95">
        <f>'DOE25'!H9</f>
        <v>23495.64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86645.72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125683.81</v>
      </c>
      <c r="D12" s="95">
        <f>'DOE25'!G13</f>
        <v>18038.22</v>
      </c>
      <c r="E12" s="95">
        <f>'DOE25'!H13</f>
        <v>22970.91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550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859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347493.57999999996</v>
      </c>
      <c r="D18" s="41">
        <f>SUM(D8:D17)</f>
        <v>12659</v>
      </c>
      <c r="E18" s="41">
        <f>SUM(E8:E17)</f>
        <v>46466.55</v>
      </c>
      <c r="F18" s="41">
        <f>SUM(F8:F17)</f>
        <v>0</v>
      </c>
      <c r="G18" s="41">
        <f>SUM(G8:G17)</f>
        <v>86645.72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68669.87</v>
      </c>
      <c r="D23" s="95">
        <f>'DOE25'!G24</f>
        <v>12659</v>
      </c>
      <c r="E23" s="95">
        <f>'DOE25'!H24</f>
        <v>6920.61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60755.69</v>
      </c>
      <c r="D29" s="95">
        <f>'DOE25'!G30</f>
        <v>0</v>
      </c>
      <c r="E29" s="95">
        <f>'DOE25'!H30</f>
        <v>5159.66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129425.56</v>
      </c>
      <c r="D31" s="41">
        <f>SUM(D21:D30)</f>
        <v>12659</v>
      </c>
      <c r="E31" s="41">
        <f>SUM(E21:E30)</f>
        <v>12080.27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34386.28</v>
      </c>
      <c r="F46" s="95">
        <f>'DOE25'!I47</f>
        <v>0</v>
      </c>
      <c r="G46" s="95">
        <f>'DOE25'!J47</f>
        <v>86645.72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143366.66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74701.36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218068.02000000002</v>
      </c>
      <c r="D49" s="41">
        <f>SUM(D34:D48)</f>
        <v>0</v>
      </c>
      <c r="E49" s="41">
        <f>SUM(E34:E48)</f>
        <v>34386.28</v>
      </c>
      <c r="F49" s="41">
        <f>SUM(F34:F48)</f>
        <v>0</v>
      </c>
      <c r="G49" s="41">
        <f>SUM(G34:G48)</f>
        <v>86645.72</v>
      </c>
      <c r="H49" s="124"/>
      <c r="I49" s="124"/>
    </row>
    <row r="50" spans="1:9" ht="12" thickTop="1">
      <c r="A50" s="38" t="s">
        <v>895</v>
      </c>
      <c r="B50" s="2"/>
      <c r="C50" s="41">
        <f>C49+C31</f>
        <v>347493.58</v>
      </c>
      <c r="D50" s="41">
        <f>D49+D31</f>
        <v>12659</v>
      </c>
      <c r="E50" s="41">
        <f>E49+E31</f>
        <v>46466.55</v>
      </c>
      <c r="F50" s="41">
        <f>F49+F31</f>
        <v>0</v>
      </c>
      <c r="G50" s="41">
        <f>G49+G31</f>
        <v>86645.72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3694352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619791.24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9.98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50.68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70436.13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190371.54</v>
      </c>
      <c r="D60" s="95">
        <f>SUM('DOE25'!G97:G109)</f>
        <v>0</v>
      </c>
      <c r="E60" s="95">
        <f>SUM('DOE25'!H97:H109)</f>
        <v>28415.19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810172.76</v>
      </c>
      <c r="D61" s="130">
        <f>SUM(D56:D60)</f>
        <v>70436.13</v>
      </c>
      <c r="E61" s="130">
        <f>SUM(E56:E60)</f>
        <v>28415.19</v>
      </c>
      <c r="F61" s="130">
        <f>SUM(F56:F60)</f>
        <v>0</v>
      </c>
      <c r="G61" s="130">
        <f>SUM(G56:G60)</f>
        <v>50.68</v>
      </c>
      <c r="H61"/>
      <c r="I61"/>
    </row>
    <row r="62" spans="1:9" ht="12" thickTop="1">
      <c r="A62" s="29" t="s">
        <v>175</v>
      </c>
      <c r="B62" s="6"/>
      <c r="C62" s="22">
        <f>C55+C61</f>
        <v>4504524.76</v>
      </c>
      <c r="D62" s="22">
        <f>D55+D61</f>
        <v>70436.13</v>
      </c>
      <c r="E62" s="22">
        <f>E55+E61</f>
        <v>28415.19</v>
      </c>
      <c r="F62" s="22">
        <f>F55+F61</f>
        <v>0</v>
      </c>
      <c r="G62" s="22">
        <f>G55+G61</f>
        <v>50.68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2093022.54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609798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1813.46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2704634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416783.4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123036.15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1798.35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539819.55000000005</v>
      </c>
      <c r="D77" s="130">
        <f>SUM(D71:D76)</f>
        <v>1798.35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3244453.55</v>
      </c>
      <c r="D80" s="130">
        <f>SUM(D78:D79)+D77+D69</f>
        <v>1798.35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108626.4</v>
      </c>
      <c r="D87" s="95">
        <f>SUM('DOE25'!G152:G160)</f>
        <v>97630.01</v>
      </c>
      <c r="E87" s="95">
        <f>SUM('DOE25'!H152:H160)</f>
        <v>293044.71000000002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2901.72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111528.12</v>
      </c>
      <c r="D90" s="131">
        <f>SUM(D84:D89)</f>
        <v>97630.01</v>
      </c>
      <c r="E90" s="131">
        <f>SUM(E84:E89)</f>
        <v>293044.71000000002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369173.89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1817.46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25000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394173.89</v>
      </c>
      <c r="D102" s="86">
        <f>SUM(D92:D101)</f>
        <v>1817.46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8254680.3199999994</v>
      </c>
      <c r="D103" s="86">
        <f>D62+D80+D90+D102</f>
        <v>171681.94999999998</v>
      </c>
      <c r="E103" s="86">
        <f>E62+E80+E90+E102</f>
        <v>321459.90000000002</v>
      </c>
      <c r="F103" s="86">
        <f>F62+F80+F90+F102</f>
        <v>0</v>
      </c>
      <c r="G103" s="86">
        <f>G62+G80+G102</f>
        <v>50.68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3034845.6699999995</v>
      </c>
      <c r="D108" s="24" t="s">
        <v>289</v>
      </c>
      <c r="E108" s="95">
        <f>('DOE25'!L275)+('DOE25'!L294)+('DOE25'!L313)</f>
        <v>19964.349999999999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1775134.0299999998</v>
      </c>
      <c r="D109" s="24" t="s">
        <v>289</v>
      </c>
      <c r="E109" s="95">
        <f>('DOE25'!L276)+('DOE25'!L295)+('DOE25'!L314)</f>
        <v>1274.94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144222.26999999999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62250.670000000006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5016452.6399999987</v>
      </c>
      <c r="D114" s="86">
        <f>SUM(D108:D113)</f>
        <v>0</v>
      </c>
      <c r="E114" s="86">
        <f>SUM(E108:E113)</f>
        <v>21239.289999999997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570773.68000000005</v>
      </c>
      <c r="D117" s="24" t="s">
        <v>289</v>
      </c>
      <c r="E117" s="95">
        <f>+('DOE25'!L280)+('DOE25'!L299)+('DOE25'!L318)</f>
        <v>238836.58000000002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113153.41</v>
      </c>
      <c r="D118" s="24" t="s">
        <v>289</v>
      </c>
      <c r="E118" s="95">
        <f>+('DOE25'!L281)+('DOE25'!L300)+('DOE25'!L319)</f>
        <v>19304.2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303634.82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367536.20999999996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432</v>
      </c>
      <c r="D121" s="24" t="s">
        <v>289</v>
      </c>
      <c r="E121" s="95">
        <f>+('DOE25'!L284)+('DOE25'!L303)+('DOE25'!L322)</f>
        <v>11104.98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560583.09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175713.72</v>
      </c>
      <c r="D123" s="24" t="s">
        <v>289</v>
      </c>
      <c r="E123" s="95">
        <f>+('DOE25'!L286)+('DOE25'!L305)+('DOE25'!L324)</f>
        <v>2450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109.66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173304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2091826.93</v>
      </c>
      <c r="D127" s="86">
        <f>SUM(D117:D126)</f>
        <v>173304</v>
      </c>
      <c r="E127" s="86">
        <f>SUM(E117:E126)</f>
        <v>271805.42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369173.89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694639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85605.18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25000</v>
      </c>
    </row>
    <row r="134" spans="1:7">
      <c r="A134" t="s">
        <v>233</v>
      </c>
      <c r="B134" s="32" t="s">
        <v>234</v>
      </c>
      <c r="C134" s="95">
        <f>'DOE25'!L262</f>
        <v>1817.46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50.68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-50.68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1151235.53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25000</v>
      </c>
    </row>
    <row r="144" spans="1:7" ht="12.75" thickTop="1" thickBot="1">
      <c r="A144" s="33" t="s">
        <v>244</v>
      </c>
      <c r="C144" s="86">
        <f>(C114+C127+C143)</f>
        <v>8259515.0999999987</v>
      </c>
      <c r="D144" s="86">
        <f>(D114+D127+D143)</f>
        <v>173304</v>
      </c>
      <c r="E144" s="86">
        <f>(E114+E127+E143)</f>
        <v>293044.70999999996</v>
      </c>
      <c r="F144" s="86">
        <f>(F114+F127+F143)</f>
        <v>0</v>
      </c>
      <c r="G144" s="86">
        <f>(G114+G127+G143)</f>
        <v>25000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3494639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2.69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3494639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3494639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694639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694639</v>
      </c>
    </row>
    <row r="158" spans="1:9">
      <c r="A158" s="22" t="s">
        <v>35</v>
      </c>
      <c r="B158" s="137">
        <f>'DOE25'!F497</f>
        <v>2800000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2800000</v>
      </c>
    </row>
    <row r="159" spans="1:9">
      <c r="A159" s="22" t="s">
        <v>36</v>
      </c>
      <c r="B159" s="137">
        <f>'DOE25'!F498</f>
        <v>152627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152627</v>
      </c>
    </row>
    <row r="160" spans="1:9">
      <c r="A160" s="22" t="s">
        <v>37</v>
      </c>
      <c r="B160" s="137">
        <f>'DOE25'!F499</f>
        <v>2952627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2952627</v>
      </c>
    </row>
    <row r="161" spans="1:7">
      <c r="A161" s="22" t="s">
        <v>38</v>
      </c>
      <c r="B161" s="137">
        <f>'DOE25'!F500</f>
        <v>700000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700000</v>
      </c>
    </row>
    <row r="162" spans="1:7">
      <c r="A162" s="22" t="s">
        <v>39</v>
      </c>
      <c r="B162" s="137">
        <f>'DOE25'!F501</f>
        <v>66951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66951</v>
      </c>
    </row>
    <row r="163" spans="1:7">
      <c r="A163" s="22" t="s">
        <v>246</v>
      </c>
      <c r="B163" s="137">
        <f>'DOE25'!F502</f>
        <v>766951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766951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PLYMOUTH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18462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18462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3054810</v>
      </c>
      <c r="D10" s="182">
        <f>ROUND((C10/$C$28)*100,1)</f>
        <v>40.200000000000003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1776409</v>
      </c>
      <c r="D11" s="182">
        <f>ROUND((C11/$C$28)*100,1)</f>
        <v>23.4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144222</v>
      </c>
      <c r="D13" s="182">
        <f>ROUND((C13/$C$28)*100,1)</f>
        <v>1.9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809610</v>
      </c>
      <c r="D15" s="182">
        <f t="shared" ref="D15:D27" si="0">ROUND((C15/$C$28)*100,1)</f>
        <v>10.7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132458</v>
      </c>
      <c r="D16" s="182">
        <f t="shared" si="0"/>
        <v>1.7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303744</v>
      </c>
      <c r="D17" s="182">
        <f t="shared" si="0"/>
        <v>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367536</v>
      </c>
      <c r="D18" s="182">
        <f t="shared" si="0"/>
        <v>4.8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11537</v>
      </c>
      <c r="D19" s="182">
        <f t="shared" si="0"/>
        <v>0.2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560583</v>
      </c>
      <c r="D20" s="182">
        <f t="shared" si="0"/>
        <v>7.4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178164</v>
      </c>
      <c r="D21" s="182">
        <f t="shared" si="0"/>
        <v>2.2999999999999998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62251</v>
      </c>
      <c r="D24" s="182">
        <f t="shared" si="0"/>
        <v>0.8</v>
      </c>
    </row>
    <row r="25" spans="1:4">
      <c r="A25">
        <v>5120</v>
      </c>
      <c r="B25" t="s">
        <v>720</v>
      </c>
      <c r="C25" s="179">
        <f>ROUND('DOE25'!L260+'DOE25'!L341,0)</f>
        <v>85605</v>
      </c>
      <c r="D25" s="182">
        <f t="shared" si="0"/>
        <v>1.1000000000000001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102867.87</v>
      </c>
      <c r="D27" s="182">
        <f t="shared" si="0"/>
        <v>1.4</v>
      </c>
    </row>
    <row r="28" spans="1:4">
      <c r="B28" s="187" t="s">
        <v>723</v>
      </c>
      <c r="C28" s="180">
        <f>SUM(C10:C27)</f>
        <v>7589796.8700000001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369174</v>
      </c>
    </row>
    <row r="30" spans="1:4">
      <c r="B30" s="187" t="s">
        <v>729</v>
      </c>
      <c r="C30" s="180">
        <f>SUM(C28:C29)</f>
        <v>7958970.8700000001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694639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3694352</v>
      </c>
      <c r="D35" s="182">
        <f t="shared" ref="D35:D40" si="1">ROUND((C35/$C$41)*100,1)</f>
        <v>44.6</v>
      </c>
    </row>
    <row r="36" spans="1:4">
      <c r="B36" s="185" t="s">
        <v>743</v>
      </c>
      <c r="C36" s="179">
        <f>SUM('DOE25'!F111:J111)-SUM('DOE25'!G96:G109)+('DOE25'!F173+'DOE25'!F174+'DOE25'!I173+'DOE25'!I174)-C35</f>
        <v>838638.62999999989</v>
      </c>
      <c r="D36" s="182">
        <f t="shared" si="1"/>
        <v>10.1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2704634</v>
      </c>
      <c r="D37" s="182">
        <f t="shared" si="1"/>
        <v>32.700000000000003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541618</v>
      </c>
      <c r="D38" s="182">
        <f t="shared" si="1"/>
        <v>6.5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502203</v>
      </c>
      <c r="D39" s="182">
        <f t="shared" si="1"/>
        <v>6.1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8281445.6299999999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369174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PLYMOUTH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2012-08-30T13:20:17Z</cp:lastPrinted>
  <dcterms:created xsi:type="dcterms:W3CDTF">1997-12-04T19:04:30Z</dcterms:created>
  <dcterms:modified xsi:type="dcterms:W3CDTF">2012-11-21T15:23:05Z</dcterms:modified>
</cp:coreProperties>
</file>