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C19" i="10" s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F660" i="1" s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C20" i="10" s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6" i="1" s="1"/>
  <c r="C139" i="2" s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E56" i="2" s="1"/>
  <c r="H93" i="1"/>
  <c r="H110" i="1"/>
  <c r="I110" i="1"/>
  <c r="I111" i="1" s="1"/>
  <c r="J110" i="1"/>
  <c r="J111" i="1" s="1"/>
  <c r="F120" i="1"/>
  <c r="F135" i="1"/>
  <c r="F139" i="1" s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3" i="10"/>
  <c r="C18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F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 s="1"/>
  <c r="F88" i="2"/>
  <c r="C89" i="2"/>
  <c r="C92" i="2"/>
  <c r="F92" i="2"/>
  <c r="C93" i="2"/>
  <c r="F93" i="2"/>
  <c r="D95" i="2"/>
  <c r="D102" i="2" s="1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9" i="2"/>
  <c r="E109" i="2"/>
  <c r="E110" i="2"/>
  <c r="C111" i="2"/>
  <c r="E111" i="2"/>
  <c r="C112" i="2"/>
  <c r="E112" i="2"/>
  <c r="C113" i="2"/>
  <c r="E113" i="2"/>
  <c r="D114" i="2"/>
  <c r="F114" i="2"/>
  <c r="G114" i="2"/>
  <c r="C117" i="2"/>
  <c r="C118" i="2"/>
  <c r="E119" i="2"/>
  <c r="E120" i="2"/>
  <c r="C121" i="2"/>
  <c r="E121" i="2"/>
  <c r="C122" i="2"/>
  <c r="E122" i="2"/>
  <c r="C123" i="2"/>
  <c r="E123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G617" i="1" s="1"/>
  <c r="H19" i="1"/>
  <c r="G618" i="1" s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H633" i="1" s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G433" i="1" s="1"/>
  <c r="H418" i="1"/>
  <c r="I418" i="1"/>
  <c r="I433" i="1" s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33" i="1"/>
  <c r="H433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G649" i="1"/>
  <c r="G650" i="1"/>
  <c r="G651" i="1"/>
  <c r="H651" i="1"/>
  <c r="J651" i="1" s="1"/>
  <c r="G652" i="1"/>
  <c r="H652" i="1"/>
  <c r="J652" i="1" s="1"/>
  <c r="G653" i="1"/>
  <c r="H653" i="1"/>
  <c r="J653" i="1" s="1"/>
  <c r="H654" i="1"/>
  <c r="J351" i="1"/>
  <c r="F191" i="1"/>
  <c r="L255" i="1"/>
  <c r="G256" i="1"/>
  <c r="G270" i="1" s="1"/>
  <c r="G163" i="2"/>
  <c r="G159" i="2"/>
  <c r="C18" i="2"/>
  <c r="F31" i="2"/>
  <c r="C26" i="10"/>
  <c r="L327" i="1"/>
  <c r="L350" i="1"/>
  <c r="A31" i="12"/>
  <c r="C69" i="2"/>
  <c r="A40" i="12"/>
  <c r="D12" i="13"/>
  <c r="C12" i="13" s="1"/>
  <c r="G8" i="2"/>
  <c r="G161" i="2"/>
  <c r="D61" i="2"/>
  <c r="D62" i="2" s="1"/>
  <c r="E49" i="2"/>
  <c r="D18" i="13"/>
  <c r="C18" i="13" s="1"/>
  <c r="D15" i="13"/>
  <c r="C15" i="13" s="1"/>
  <c r="D7" i="13"/>
  <c r="C7" i="13" s="1"/>
  <c r="F102" i="2"/>
  <c r="D18" i="2"/>
  <c r="E18" i="2"/>
  <c r="D17" i="13"/>
  <c r="C17" i="13" s="1"/>
  <c r="D6" i="13"/>
  <c r="C6" i="13" s="1"/>
  <c r="G158" i="2"/>
  <c r="C90" i="2"/>
  <c r="G80" i="2"/>
  <c r="F77" i="2"/>
  <c r="F80" i="2" s="1"/>
  <c r="F61" i="2"/>
  <c r="F62" i="2" s="1"/>
  <c r="D31" i="2"/>
  <c r="C77" i="2"/>
  <c r="D49" i="2"/>
  <c r="G156" i="2"/>
  <c r="F49" i="2"/>
  <c r="F50" i="2" s="1"/>
  <c r="F18" i="2"/>
  <c r="G162" i="2"/>
  <c r="G160" i="2"/>
  <c r="G157" i="2"/>
  <c r="G155" i="2"/>
  <c r="E143" i="2"/>
  <c r="G102" i="2"/>
  <c r="E102" i="2"/>
  <c r="C102" i="2"/>
  <c r="D90" i="2"/>
  <c r="F90" i="2"/>
  <c r="E31" i="2"/>
  <c r="C31" i="2"/>
  <c r="G61" i="2"/>
  <c r="D19" i="13"/>
  <c r="C19" i="13" s="1"/>
  <c r="D14" i="13"/>
  <c r="C14" i="13" s="1"/>
  <c r="E13" i="13"/>
  <c r="C13" i="13" s="1"/>
  <c r="J616" i="1"/>
  <c r="F544" i="1" l="1"/>
  <c r="G570" i="1"/>
  <c r="J618" i="1"/>
  <c r="K433" i="1"/>
  <c r="G133" i="2" s="1"/>
  <c r="G143" i="2" s="1"/>
  <c r="G144" i="2" s="1"/>
  <c r="J641" i="1"/>
  <c r="I662" i="1"/>
  <c r="E61" i="2"/>
  <c r="E62" i="2" s="1"/>
  <c r="E103" i="2" s="1"/>
  <c r="C61" i="2"/>
  <c r="C62" i="2" s="1"/>
  <c r="C12" i="10"/>
  <c r="G31" i="13"/>
  <c r="G661" i="1"/>
  <c r="I661" i="1" s="1"/>
  <c r="E118" i="2"/>
  <c r="E117" i="2"/>
  <c r="F31" i="13"/>
  <c r="I337" i="1"/>
  <c r="I351" i="1" s="1"/>
  <c r="C16" i="10"/>
  <c r="A22" i="12"/>
  <c r="L289" i="1"/>
  <c r="E108" i="2"/>
  <c r="E114" i="2" s="1"/>
  <c r="C10" i="10"/>
  <c r="C124" i="2"/>
  <c r="C120" i="2"/>
  <c r="C15" i="10"/>
  <c r="C110" i="2"/>
  <c r="L246" i="1"/>
  <c r="H659" i="1" s="1"/>
  <c r="C108" i="2"/>
  <c r="I256" i="1"/>
  <c r="I270" i="1" s="1"/>
  <c r="C17" i="10"/>
  <c r="K256" i="1"/>
  <c r="K270" i="1" s="1"/>
  <c r="L228" i="1"/>
  <c r="C11" i="10"/>
  <c r="J648" i="1"/>
  <c r="L210" i="1"/>
  <c r="E8" i="13"/>
  <c r="C8" i="13" s="1"/>
  <c r="C119" i="2"/>
  <c r="G33" i="13"/>
  <c r="D50" i="2"/>
  <c r="D29" i="13"/>
  <c r="C29" i="13" s="1"/>
  <c r="G660" i="1"/>
  <c r="H660" i="1"/>
  <c r="L361" i="1"/>
  <c r="C80" i="2"/>
  <c r="E77" i="2"/>
  <c r="E80" i="2" s="1"/>
  <c r="F103" i="2"/>
  <c r="L426" i="1"/>
  <c r="J256" i="1"/>
  <c r="H647" i="1" s="1"/>
  <c r="H111" i="1"/>
  <c r="F111" i="1"/>
  <c r="J640" i="1"/>
  <c r="J638" i="1"/>
  <c r="K604" i="1"/>
  <c r="G647" i="1" s="1"/>
  <c r="J570" i="1"/>
  <c r="K570" i="1"/>
  <c r="L432" i="1"/>
  <c r="L418" i="1"/>
  <c r="D80" i="2"/>
  <c r="D103" i="2" s="1"/>
  <c r="I168" i="1"/>
  <c r="H168" i="1"/>
  <c r="J270" i="1"/>
  <c r="G551" i="1"/>
  <c r="L433" i="1"/>
  <c r="G637" i="1" s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G475" i="1"/>
  <c r="H622" i="1" s="1"/>
  <c r="J622" i="1" s="1"/>
  <c r="G337" i="1"/>
  <c r="G351" i="1" s="1"/>
  <c r="D144" i="2"/>
  <c r="C23" i="10"/>
  <c r="F168" i="1"/>
  <c r="J139" i="1"/>
  <c r="J637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H139" i="1"/>
  <c r="C38" i="10" s="1"/>
  <c r="L400" i="1"/>
  <c r="C138" i="2" s="1"/>
  <c r="L392" i="1"/>
  <c r="A13" i="12"/>
  <c r="F22" i="13"/>
  <c r="H25" i="13"/>
  <c r="C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F551" i="1"/>
  <c r="C35" i="10"/>
  <c r="L308" i="1"/>
  <c r="D5" i="13"/>
  <c r="E16" i="13"/>
  <c r="J624" i="1"/>
  <c r="C49" i="2"/>
  <c r="C50" i="2" s="1"/>
  <c r="J654" i="1"/>
  <c r="J644" i="1"/>
  <c r="J192" i="1"/>
  <c r="L569" i="1"/>
  <c r="I570" i="1"/>
  <c r="I544" i="1"/>
  <c r="J635" i="1"/>
  <c r="G36" i="2"/>
  <c r="G49" i="2" s="1"/>
  <c r="G50" i="2" s="1"/>
  <c r="J50" i="1"/>
  <c r="C39" i="10"/>
  <c r="L564" i="1"/>
  <c r="G544" i="1"/>
  <c r="L544" i="1"/>
  <c r="H544" i="1"/>
  <c r="K550" i="1"/>
  <c r="F143" i="2"/>
  <c r="F144" i="2" s="1"/>
  <c r="K551" i="1" l="1"/>
  <c r="L570" i="1"/>
  <c r="J647" i="1"/>
  <c r="H192" i="1"/>
  <c r="G628" i="1" s="1"/>
  <c r="J628" i="1" s="1"/>
  <c r="C36" i="10"/>
  <c r="C41" i="10" s="1"/>
  <c r="D39" i="10" s="1"/>
  <c r="F192" i="1"/>
  <c r="G626" i="1" s="1"/>
  <c r="J626" i="1" s="1"/>
  <c r="E127" i="2"/>
  <c r="F659" i="1"/>
  <c r="F663" i="1" s="1"/>
  <c r="F666" i="1" s="1"/>
  <c r="E144" i="2"/>
  <c r="C127" i="2"/>
  <c r="C114" i="2"/>
  <c r="H663" i="1"/>
  <c r="H671" i="1" s="1"/>
  <c r="C6" i="10" s="1"/>
  <c r="L256" i="1"/>
  <c r="L270" i="1" s="1"/>
  <c r="G631" i="1" s="1"/>
  <c r="J631" i="1" s="1"/>
  <c r="I660" i="1"/>
  <c r="C27" i="10"/>
  <c r="G634" i="1"/>
  <c r="J634" i="1" s="1"/>
  <c r="C5" i="13"/>
  <c r="C22" i="13"/>
  <c r="F33" i="13"/>
  <c r="C137" i="2"/>
  <c r="C140" i="2" s="1"/>
  <c r="C143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G630" i="1"/>
  <c r="J630" i="1" s="1"/>
  <c r="G645" i="1"/>
  <c r="G625" i="1"/>
  <c r="J51" i="1"/>
  <c r="H620" i="1" s="1"/>
  <c r="J620" i="1" s="1"/>
  <c r="F671" i="1" l="1"/>
  <c r="C4" i="10" s="1"/>
  <c r="C144" i="2"/>
  <c r="H666" i="1"/>
  <c r="C28" i="10"/>
  <c r="D27" i="10" s="1"/>
  <c r="G636" i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H655" i="1" l="1"/>
  <c r="D41" i="10"/>
  <c r="D25" i="10"/>
  <c r="C30" i="10"/>
  <c r="D17" i="10"/>
  <c r="D11" i="10"/>
  <c r="D15" i="10"/>
  <c r="D23" i="10"/>
  <c r="D24" i="10"/>
  <c r="D22" i="10"/>
  <c r="D19" i="10"/>
  <c r="D16" i="10"/>
  <c r="D12" i="10"/>
  <c r="D21" i="10"/>
  <c r="D26" i="10"/>
  <c r="D18" i="10"/>
  <c r="D13" i="10"/>
  <c r="D10" i="10"/>
  <c r="D20" i="10"/>
  <c r="I666" i="1"/>
  <c r="I671" i="1"/>
  <c r="C7" i="10" s="1"/>
  <c r="G671" i="1"/>
  <c r="C5" i="10" s="1"/>
  <c r="G666" i="1"/>
  <c r="D28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<sst xmlns="http://schemas.openxmlformats.org/spreadsheetml/2006/main" count="3946" uniqueCount="912">
  <si>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</si>
  <si>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</si>
  <si>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</si>
  <si>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</si>
  <si>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</si>
  <si>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</si>
  <si>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</si>
  <si>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</si>
  <si>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</si>
  <si>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</si>
  <si>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</si>
  <si>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</si>
  <si>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</si>
  <si>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</si>
  <si>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</si>
  <si>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</si>
  <si>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</si>
  <si>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</si>
  <si>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</si>
  <si>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</si>
  <si>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</si>
  <si>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</si>
  <si>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</si>
  <si>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</si>
  <si>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</si>
  <si>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</si>
  <si>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</si>
  <si>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</si>
  <si>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</si>
  <si>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</si>
  <si>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</si>
  <si>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</si>
  <si>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</si>
  <si>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</si>
  <si>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</si>
  <si>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</si>
  <si>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</si>
  <si>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</si>
  <si>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</si>
  <si>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</si>
  <si>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</si>
  <si>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</si>
  <si>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</si>
  <si>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</si>
  <si>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</si>
  <si>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</si>
  <si>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</si>
  <si>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</si>
  <si>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</si>
  <si>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</si>
  <si>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</si>
  <si>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</si>
  <si>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</si>
  <si>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</si>
  <si>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</si>
  <si>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</si>
  <si>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</si>
  <si>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</si>
  <si>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</si>
  <si>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</si>
  <si>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</si>
  <si>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</si>
  <si>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</si>
  <si>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</si>
  <si>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</si>
  <si>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</si>
  <si>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</si>
  <si>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</si>
  <si>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</si>
  <si>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</si>
  <si>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</si>
  <si>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</si>
  <si>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</si>
  <si>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</si>
  <si>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</si>
  <si>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</si>
  <si>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</si>
  <si>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</si>
  <si>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</si>
  <si>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</si>
  <si>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</si>
  <si>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</si>
  <si>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</si>
  <si>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</si>
  <si>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</si>
  <si>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</si>
  <si>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</si>
  <si>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</si>
  <si>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</si>
  <si>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</si>
  <si>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</si>
  <si>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</si>
  <si>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</si>
  <si>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</si>
  <si>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</si>
  <si>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</si>
  <si>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</si>
  <si>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</si>
  <si>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</si>
  <si>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</si>
  <si>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</si>
  <si>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</si>
  <si>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</si>
  <si>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</si>
  <si>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</si>
  <si>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</si>
  <si>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</si>
  <si>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</si>
  <si>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</si>
  <si>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</si>
  <si>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</si>
  <si>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</si>
  <si>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</si>
  <si>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</si>
  <si>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</si>
  <si>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</si>
  <si>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</si>
  <si>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</si>
  <si>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</si>
  <si>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</si>
  <si>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</si>
  <si>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</si>
  <si>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</si>
  <si>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</si>
  <si>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</si>
  <si>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</si>
  <si>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</si>
  <si>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</si>
  <si>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</si>
  <si>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</si>
  <si>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</si>
  <si>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</si>
  <si>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</si>
  <si>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</si>
  <si>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</si>
  <si>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</si>
  <si>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</si>
  <si>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</si>
  <si>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</si>
  <si>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</si>
  <si>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</si>
  <si>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</si>
  <si>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</si>
  <si>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</si>
  <si>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</si>
  <si>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</si>
  <si>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</si>
  <si>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</si>
  <si>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</si>
  <si>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</si>
  <si>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</si>
  <si>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</si>
  <si>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</si>
  <si>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</si>
  <si>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</si>
  <si>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</si>
  <si>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</si>
  <si>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</si>
  <si>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</si>
  <si>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</si>
  <si>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</si>
  <si>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</si>
  <si>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</si>
  <si>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</si>
  <si>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</si>
  <si>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</si>
  <si>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</si>
  <si>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</si>
  <si>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</si>
  <si>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</si>
  <si>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</si>
  <si>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</si>
  <si>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</si>
  <si>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</si>
  <si>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</si>
  <si>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</si>
  <si>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</si>
  <si>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</si>
  <si>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</si>
  <si>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</si>
  <si>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</si>
  <si>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</si>
  <si>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</si>
  <si>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</si>
  <si>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</si>
  <si>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</si>
  <si>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</si>
  <si>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</si>
  <si>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</si>
  <si>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</si>
  <si>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</si>
  <si>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</si>
  <si>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</si>
  <si>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</si>
  <si>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</si>
  <si>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</si>
  <si>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</si>
  <si>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</si>
  <si>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</si>
  <si>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</si>
  <si>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</si>
  <si>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</si>
  <si>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</si>
  <si>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</si>
  <si>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</si>
  <si>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</si>
  <si>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</si>
  <si>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</si>
  <si>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</si>
  <si>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</si>
  <si>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</si>
  <si>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</si>
  <si>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</si>
  <si>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</si>
  <si>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</si>
  <si>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</si>
  <si>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</si>
  <si>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</si>
  <si>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</si>
  <si>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</si>
  <si>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</si>
  <si>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</si>
  <si>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</si>
  <si>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</si>
  <si>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</si>
  <si>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</si>
  <si>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</si>
  <si>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</si>
  <si>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</si>
  <si>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</si>
  <si>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</si>
  <si>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</si>
  <si>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</si>
  <si>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</si>
  <si>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</si>
  <si>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</si>
  <si>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</si>
  <si>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</si>
  <si>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</si>
  <si>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</si>
  <si>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</si>
  <si>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</si>
  <si>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</si>
  <si>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</si>
  <si>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</si>
  <si>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</si>
  <si>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</si>
  <si>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</si>
  <si>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</si>
  <si>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</si>
  <si>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</si>
  <si>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</si>
  <si>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</si>
  <si>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</si>
  <si>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</si>
  <si>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</si>
  <si>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</si>
  <si>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</si>
  <si>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</si>
  <si>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</si>
  <si>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</si>
  <si>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</si>
  <si>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</si>
  <si>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</si>
  <si>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</si>
  <si>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</si>
  <si>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</si>
  <si>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</si>
  <si>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</si>
  <si>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</si>
  <si>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</si>
  <si>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</si>
  <si>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</si>
  <si>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</si>
  <si>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</si>
  <si>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</si>
  <si>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</si>
  <si>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</si>
  <si>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</si>
  <si>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</si>
  <si>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</si>
  <si>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</si>
  <si>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</si>
  <si>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</si>
  <si>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</si>
  <si>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</si>
  <si>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</si>
  <si>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</si>
  <si>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</si>
  <si>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</si>
  <si>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</si>
  <si>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</si>
  <si>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</si>
  <si>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</si>
  <si>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</si>
  <si>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</si>
  <si>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</si>
  <si>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</si>
  <si>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</si>
  <si>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</si>
  <si>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</si>
  <si>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</si>
  <si>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</si>
  <si>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</si>
  <si>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</si>
  <si>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</si>
  <si>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</si>
  <si>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</si>
  <si>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</si>
  <si>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</si>
  <si>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</si>
  <si>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</si>
  <si>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</si>
  <si>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</si>
  <si>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</si>
  <si>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</si>
  <si>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</si>
  <si>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</si>
  <si>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</si>
  <si>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</si>
  <si>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</si>
  <si>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</si>
  <si>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</si>
  <si>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</si>
  <si>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</si>
  <si>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</si>
  <si>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</si>
  <si>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</si>
  <si>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</si>
  <si>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</si>
  <si>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</si>
  <si>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</si>
  <si>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</si>
  <si>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</si>
  <si>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</si>
  <si>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</si>
  <si>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</si>
  <si>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</si>
  <si>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</si>
  <si>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</si>
  <si>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</si>
  <si>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</si>
  <si>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</si>
  <si>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</si>
  <si>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</si>
  <si>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</si>
  <si>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</si>
  <si>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</si>
  <si>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</si>
  <si>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</si>
  <si>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</si>
  <si>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</si>
  <si>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</si>
  <si>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</si>
  <si>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</si>
  <si>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</si>
  <si>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</si>
  <si>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</si>
  <si>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</si>
  <si>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</si>
  <si>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</si>
  <si>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</si>
  <si>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</si>
  <si>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</si>
  <si>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</si>
  <si>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</si>
  <si>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</si>
  <si>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</si>
  <si>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</si>
  <si>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</si>
  <si>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</si>
  <si>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</si>
  <si>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</si>
  <si>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</si>
  <si>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</si>
  <si>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</si>
  <si>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</si>
  <si>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</si>
  <si>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</si>
  <si>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</si>
  <si>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</si>
  <si>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</si>
  <si>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</si>
  <si>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</si>
  <si>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</si>
  <si>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</si>
  <si>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</si>
  <si>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</si>
  <si>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</si>
  <si>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</si>
  <si>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</si>
  <si>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</si>
  <si>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</si>
  <si>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</si>
  <si>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</si>
  <si>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</si>
  <si>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</si>
  <si>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</si>
  <si>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</si>
  <si>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</si>
  <si>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</si>
  <si>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</si>
  <si>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</si>
  <si>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</si>
  <si>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</si>
  <si>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</si>
  <si>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</si>
  <si>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</si>
  <si>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</si>
  <si>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</si>
  <si>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</si>
  <si>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</si>
  <si>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</si>
  <si>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</si>
  <si>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</si>
  <si>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</si>
  <si>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</si>
  <si>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</si>
  <si>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</si>
  <si>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</si>
  <si>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</si>
  <si>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</si>
  <si>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</si>
  <si>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</si>
  <si>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</si>
  <si>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</si>
  <si>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</si>
  <si>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</si>
  <si>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</si>
  <si>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</si>
  <si>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</si>
  <si>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</si>
  <si>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</si>
  <si>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</si>
  <si>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</si>
  <si>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</si>
  <si>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</si>
  <si>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</si>
  <si>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</si>
  <si>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</si>
  <si>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</si>
  <si>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</si>
  <si>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</si>
  <si>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</si>
  <si>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</si>
  <si>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</si>
  <si>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</si>
  <si>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</si>
  <si>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</si>
  <si>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</si>
  <si>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</si>
  <si>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</si>
  <si>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</si>
  <si>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</si>
  <si>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</si>
  <si>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</si>
  <si>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</si>
  <si>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</si>
  <si>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</si>
  <si>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</si>
  <si>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</si>
  <si>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</si>
  <si>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</si>
  <si>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</si>
  <si>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</si>
  <si>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</si>
  <si>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</si>
  <si>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</si>
  <si>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</si>
  <si>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</si>
  <si>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</si>
  <si>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</si>
  <si>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</si>
  <si>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</si>
  <si>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</si>
  <si>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</si>
  <si>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</si>
  <si>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</si>
  <si>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</si>
  <si>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</si>
  <si>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</si>
  <si>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</si>
  <si>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</si>
  <si>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</si>
  <si>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</si>
  <si>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</si>
  <si>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</si>
  <si>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</si>
  <si>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</si>
  <si>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</si>
  <si>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</si>
  <si>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</si>
  <si>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</si>
  <si>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</si>
  <si>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</si>
  <si>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</si>
  <si>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</si>
  <si>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</si>
  <si>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</si>
  <si>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</si>
  <si>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</si>
  <si>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</si>
  <si>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</si>
  <si>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</si>
  <si>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</si>
  <si>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</si>
  <si>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</si>
  <si>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</si>
  <si>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</si>
  <si>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</si>
  <si>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</si>
  <si>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</si>
  <si>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</si>
  <si>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</si>
  <si>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</si>
  <si>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</si>
  <si>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</si>
  <si>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</si>
  <si>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</si>
  <si>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</si>
  <si>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</si>
  <si>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</si>
  <si>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</si>
  <si>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</si>
  <si>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</si>
  <si>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</si>
  <si>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</si>
  <si>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</si>
  <si>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</si>
  <si>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</si>
  <si>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</si>
  <si>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</si>
  <si>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</si>
  <si>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</si>
  <si>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</si>
  <si>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</si>
  <si>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</si>
  <si>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</si>
  <si>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</si>
  <si>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</si>
  <si>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</si>
  <si>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</si>
  <si>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</si>
  <si>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</si>
  <si>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</si>
  <si>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</si>
  <si>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</si>
  <si>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</si>
  <si>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</si>
  <si>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</si>
  <si>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</si>
  <si>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</si>
  <si>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</si>
  <si>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</si>
  <si>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</si>
  <si>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</si>
  <si>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</si>
  <si>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</si>
  <si>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</si>
  <si>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</si>
  <si>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</si>
  <si>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</si>
  <si>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</si>
  <si>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</si>
  <si>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</si>
  <si>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</si>
  <si>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</si>
  <si>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</si>
  <si>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</si>
  <si>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</si>
  <si>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</si>
  <si>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</si>
  <si>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</si>
  <si>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</si>
  <si>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</si>
  <si>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</si>
  <si>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</si>
  <si>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</si>
  <si>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</si>
  <si>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</si>
  <si>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</si>
  <si>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</si>
  <si>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</si>
  <si>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</si>
  <si>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</si>
  <si>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</si>
  <si>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</si>
  <si>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</si>
  <si>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</si>
  <si>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</si>
  <si>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</si>
  <si>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</si>
  <si>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</si>
  <si>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</si>
  <si>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</si>
  <si>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</si>
  <si>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</si>
  <si>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</si>
  <si>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</si>
  <si>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</si>
  <si>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</si>
  <si>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</si>
  <si>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</si>
  <si>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</si>
  <si>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</si>
  <si>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</si>
  <si>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</si>
  <si>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</si>
  <si>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</si>
  <si>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</si>
  <si>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</si>
  <si>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</si>
  <si>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</si>
  <si>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</si>
  <si>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</si>
  <si>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</si>
  <si>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</si>
  <si>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</si>
  <si>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</si>
  <si>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</si>
  <si>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</si>
  <si>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</si>
  <si>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</si>
  <si>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</si>
  <si>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</si>
  <si>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</si>
  <si>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</si>
  <si>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</si>
  <si>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</si>
  <si>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</si>
  <si>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</si>
  <si>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</si>
  <si>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</si>
  <si>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</si>
  <si>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</si>
  <si>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</si>
  <si>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</si>
  <si>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</si>
  <si>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</si>
  <si>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</si>
  <si>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</si>
  <si>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</si>
  <si>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</si>
  <si>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</si>
  <si>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</si>
  <si>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</si>
  <si>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</si>
  <si>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</si>
  <si>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</si>
  <si>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</si>
  <si>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</si>
  <si>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</si>
  <si>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</si>
  <si>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</si>
  <si>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</si>
  <si>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</si>
  <si>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</si>
  <si>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</si>
  <si>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</si>
  <si>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</si>
  <si>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</si>
  <si>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</si>
  <si>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</si>
  <si>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</si>
  <si>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</si>
  <si>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</si>
  <si>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</si>
  <si>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</si>
  <si>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</si>
  <si>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</si>
  <si>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</si>
  <si>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</si>
  <si>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</si>
  <si>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</si>
  <si>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</si>
  <si>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</si>
  <si>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</si>
  <si>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</si>
  <si>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</si>
  <si>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</si>
  <si>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</si>
  <si>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</si>
  <si>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</si>
  <si>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</si>
  <si>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</si>
  <si>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</si>
  <si>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</si>
  <si>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</si>
  <si>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</si>
  <si>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</si>
  <si>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</si>
  <si>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</si>
  <si>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</si>
  <si>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</si>
  <si>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</si>
  <si>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</si>
  <si>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</si>
  <si>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</si>
  <si>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</si>
  <si>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</si>
  <si>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</si>
  <si>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</si>
  <si>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</si>
  <si>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</si>
  <si>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</si>
  <si>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</si>
  <si>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</si>
  <si>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</si>
  <si>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</si>
  <si>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</si>
  <si>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</si>
  <si>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</si>
  <si>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</si>
  <si>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</si>
  <si>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</si>
  <si>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</si>
  <si>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</si>
  <si>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</si>
  <si>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</si>
  <si>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</si>
  <si>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</si>
  <si>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</si>
  <si>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</si>
  <si>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</si>
  <si>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</si>
  <si>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</si>
  <si>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</si>
  <si>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</si>
  <si>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</si>
  <si>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</si>
  <si>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</si>
  <si>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</si>
  <si>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</si>
  <si>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</si>
  <si>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</si>
  <si>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</si>
  <si>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</si>
  <si>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</si>
  <si>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</si>
  <si>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</si>
  <si>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</si>
  <si>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</si>
  <si>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</si>
  <si>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</si>
  <si>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</si>
  <si>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</si>
  <si>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</si>
  <si>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</si>
  <si>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</si>
  <si>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</si>
  <si>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</si>
  <si>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</si>
  <si>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</si>
  <si>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</si>
  <si>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</si>
  <si>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</si>
  <si>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</si>
  <si>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</si>
  <si>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</si>
  <si>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</si>
  <si>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</si>
  <si>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</si>
  <si>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</si>
  <si>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</si>
  <si>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</si>
  <si>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</si>
  <si>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</si>
  <si>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</si>
  <si>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</si>
  <si>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</si>
  <si>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</si>
  <si>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</si>
  <si>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</si>
  <si>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</si>
  <si>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</si>
  <si>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</si>
  <si>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</si>
  <si>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</si>
  <si>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</si>
  <si>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</si>
  <si>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</si>
  <si>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</si>
  <si>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</si>
  <si>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</si>
  <si>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</si>
  <si>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</si>
  <si>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</si>
  <si>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</si>
  <si>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</si>
  <si>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</si>
  <si>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</si>
  <si>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</si>
  <si>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</si>
  <si>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</si>
  <si>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</si>
  <si>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</si>
  <si>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</si>
  <si>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</si>
  <si>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</si>
  <si>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</si>
  <si>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</si>
  <si>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</si>
  <si>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</si>
  <si>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</si>
  <si>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</si>
  <si>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</si>
  <si>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</si>
  <si>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</si>
  <si>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</si>
  <si>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</si>
  <si>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</si>
  <si>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</si>
  <si>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</si>
  <si>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</si>
  <si>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</si>
  <si>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</si>
  <si>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</si>
  <si>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</si>
  <si>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</si>
  <si>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</si>
  <si>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</si>
  <si>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</si>
  <si>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</si>
  <si>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</si>
  <si>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</si>
  <si>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</si>
  <si>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</si>
  <si>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</si>
  <si>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</si>
  <si>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</si>
  <si>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</si>
  <si>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</si>
  <si>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</si>
  <si>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</si>
  <si>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</si>
  <si>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</si>
  <si>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</si>
  <si>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</si>
  <si>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</si>
  <si>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</si>
  <si>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</si>
  <si>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</si>
  <si>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</si>
  <si>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</si>
  <si>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</si>
  <si>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</si>
  <si>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</si>
  <si>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</si>
  <si>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</si>
  <si>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</si>
  <si>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</si>
  <si>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</si>
  <si>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</si>
  <si>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</si>
  <si>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</si>
  <si>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</si>
  <si>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</si>
  <si>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</si>
  <si>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</si>
  <si>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</si>
  <si>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</si>
  <si>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</si>
  <si>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</si>
  <si>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</si>
  <si>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</si>
  <si>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</si>
  <si>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</si>
  <si>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</si>
  <si>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</si>
  <si>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</si>
  <si>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</si>
  <si>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</si>
  <si>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</si>
  <si>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</si>
  <si>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</si>
  <si>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</si>
  <si>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</si>
  <si>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</si>
  <si>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</si>
  <si>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</si>
  <si>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</si>
  <si>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</si>
  <si>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</si>
  <si>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</si>
  <si>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</si>
  <si>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</si>
  <si>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</si>
  <si>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</si>
  <si>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</si>
  <si>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</si>
  <si>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</si>
  <si>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</si>
  <si>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</si>
  <si>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</si>
  <si>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</si>
  <si>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</si>
  <si>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</si>
  <si>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</si>
  <si>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</si>
  <si>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</si>
  <si>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</si>
  <si>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</si>
  <si>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</si>
  <si>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</si>
  <si>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</si>
  <si>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</si>
  <si>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</si>
  <si>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</si>
  <si>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</si>
  <si>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Scholarship Trust Funds</t>
  </si>
  <si>
    <t>Portsmouth</t>
  </si>
  <si>
    <t>Special Revenue Fund - Tuition Other - Early Chid Ed program offered by CTE (high school students)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</si>
</sst>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69" sqref="H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910</v>
      </c>
      <c r="B2" s="21">
        <v>449</v>
      </c>
      <c r="C2" s="21">
        <v>449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/>
      <c r="G9" s="18">
        <v>54198.18</v>
      </c>
      <c r="H9" s="18"/>
      <c r="I9" s="18"/>
      <c r="J9" s="67">
        <f>SUM(I438)</f>
        <v>33418.31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1168.6600000000001</v>
      </c>
      <c r="H12" s="18"/>
      <c r="I12" s="18"/>
      <c r="J12" s="67">
        <f>SUM(I440)</f>
        <v>4628554.5599999996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14973.93</v>
      </c>
      <c r="H13" s="18">
        <v>713011.34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>
        <v>636.51</v>
      </c>
      <c r="H14" s="18">
        <v>20324.599999999999</v>
      </c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17033.16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0</v>
      </c>
      <c r="G19" s="41">
        <f>SUM(G9:G18)</f>
        <v>88010.44</v>
      </c>
      <c r="H19" s="41">
        <f>SUM(H9:H18)</f>
        <v>733335.94</v>
      </c>
      <c r="I19" s="41">
        <f>SUM(I9:I18)</f>
        <v>0</v>
      </c>
      <c r="J19" s="41">
        <f>SUM(J9:J18)</f>
        <v>4661972.8699999992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203075.64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>
        <v>206.85</v>
      </c>
      <c r="H24" s="18">
        <v>13419.85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27828.2</v>
      </c>
      <c r="H30" s="18">
        <v>126.04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0</v>
      </c>
      <c r="G32" s="41">
        <f>SUM(G22:G31)</f>
        <v>28035.05</v>
      </c>
      <c r="H32" s="41">
        <f>SUM(H22:H31)</f>
        <v>216621.53000000003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4661972.87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59975.39</v>
      </c>
      <c r="H47" s="18">
        <v>516714.41</v>
      </c>
      <c r="I47" s="18"/>
      <c r="J47" s="13">
        <f>SUM(I458)</f>
        <v>0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/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0</v>
      </c>
      <c r="G50" s="41">
        <f>SUM(G35:G49)</f>
        <v>59975.39</v>
      </c>
      <c r="H50" s="41">
        <f>SUM(H35:H49)</f>
        <v>516714.41</v>
      </c>
      <c r="I50" s="41">
        <f>SUM(I35:I49)</f>
        <v>0</v>
      </c>
      <c r="J50" s="41">
        <f>SUM(J35:J49)</f>
        <v>4661972.87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0</v>
      </c>
      <c r="G51" s="41">
        <f>G50+G32</f>
        <v>88010.44</v>
      </c>
      <c r="H51" s="41">
        <f>H50+H32</f>
        <v>733335.94</v>
      </c>
      <c r="I51" s="41">
        <f>I50+I32</f>
        <v>0</v>
      </c>
      <c r="J51" s="41">
        <f>J50+J32</f>
        <v>4661972.87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20917818.18</v>
      </c>
      <c r="G56" s="18"/>
      <c r="H56" s="18">
        <v>226395.83</v>
      </c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20917818.18</v>
      </c>
      <c r="G59" s="41">
        <f>SUM(G56:G58)</f>
        <v>0</v>
      </c>
      <c r="H59" s="41">
        <f>SUM(H56:H58)</f>
        <v>226395.83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>
        <v>8305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>
        <v>35087.89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5341836.33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>
        <v>645810.22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>
        <v>10466.25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>
        <v>2750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>
        <v>70932.639999999999</v>
      </c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5341836.33</v>
      </c>
      <c r="G78" s="45" t="s">
        <v>289</v>
      </c>
      <c r="H78" s="41">
        <f>SUM(H62:H77)</f>
        <v>773352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/>
      <c r="G95" s="18">
        <v>76.59</v>
      </c>
      <c r="H95" s="18"/>
      <c r="I95" s="18"/>
      <c r="J95" s="18">
        <v>124693.77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466006.41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>
        <v>15138.02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16572.41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259405.52</v>
      </c>
      <c r="I101" s="18"/>
      <c r="J101" s="18">
        <v>2250</v>
      </c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38797.910000000003</v>
      </c>
      <c r="G109" s="18"/>
      <c r="H109" s="18">
        <v>10015.93</v>
      </c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55370.320000000007</v>
      </c>
      <c r="G110" s="41">
        <f>SUM(G95:G109)</f>
        <v>466083</v>
      </c>
      <c r="H110" s="41">
        <f>SUM(H95:H109)</f>
        <v>284559.46999999997</v>
      </c>
      <c r="I110" s="41">
        <f>SUM(I95:I109)</f>
        <v>0</v>
      </c>
      <c r="J110" s="41">
        <f>SUM(J95:J109)</f>
        <v>126943.77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26315024.829999998</v>
      </c>
      <c r="G111" s="41">
        <f>G59+G110</f>
        <v>466083</v>
      </c>
      <c r="H111" s="41">
        <f>H59+H78+H93+H110</f>
        <v>1284307.2999999998</v>
      </c>
      <c r="I111" s="41">
        <f>I59+I110</f>
        <v>0</v>
      </c>
      <c r="J111" s="41">
        <f>J59+J110</f>
        <v>126943.77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/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9344223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/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9344223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1319095.73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226395.83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8267.02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>
        <v>6900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1545491.56</v>
      </c>
      <c r="G135" s="41">
        <f>SUM(G122:G134)</f>
        <v>8267.02</v>
      </c>
      <c r="H135" s="41">
        <f>SUM(H122:H134)</f>
        <v>6900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10889714.560000001</v>
      </c>
      <c r="G139" s="41">
        <f>G120+SUM(G135:G136)</f>
        <v>8267.02</v>
      </c>
      <c r="H139" s="41">
        <f>H120+SUM(H135:H138)</f>
        <v>6900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>
        <v>14076.05</v>
      </c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720876.4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239153.15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74465.61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318643.93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659145.79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/>
      <c r="G159" s="24" t="s">
        <v>289</v>
      </c>
      <c r="H159" s="18">
        <v>624256.13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>
        <v>40411.519999999997</v>
      </c>
      <c r="H160" s="18">
        <v>258990.17</v>
      </c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0</v>
      </c>
      <c r="G161" s="41">
        <f>SUM(G149:G160)</f>
        <v>359055.45</v>
      </c>
      <c r="H161" s="41">
        <f>SUM(H149:H160)</f>
        <v>2590963.2999999998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>
        <v>282.82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282.82</v>
      </c>
      <c r="G168" s="41">
        <f>G146+G161+SUM(G162:G167)</f>
        <v>359055.45</v>
      </c>
      <c r="H168" s="41">
        <f>H146+H161+SUM(H162:H167)</f>
        <v>2590963.2999999998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1168.6600000000001</v>
      </c>
      <c r="H178" s="18">
        <v>735141.98</v>
      </c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1168.6600000000001</v>
      </c>
      <c r="H182" s="41">
        <f>SUM(H178:H181)</f>
        <v>735141.98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1168.6600000000001</v>
      </c>
      <c r="H191" s="41">
        <f>+H182+SUM(H187:H190)</f>
        <v>735141.98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37205022.210000001</v>
      </c>
      <c r="G192" s="47">
        <f>G111+G139+G168+G191</f>
        <v>834574.13</v>
      </c>
      <c r="H192" s="47">
        <f>H111+H139+H168+H191</f>
        <v>4617312.58</v>
      </c>
      <c r="I192" s="47">
        <f>I111+I139+I168+I191</f>
        <v>0</v>
      </c>
      <c r="J192" s="47">
        <f>J111+J139+J191</f>
        <v>126943.77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4398076.3899999997</v>
      </c>
      <c r="G196" s="18">
        <v>2246331.38</v>
      </c>
      <c r="H196" s="18">
        <v>14654.99</v>
      </c>
      <c r="I196" s="18">
        <v>134199.26999999999</v>
      </c>
      <c r="J196" s="18">
        <v>17868.919999999998</v>
      </c>
      <c r="K196" s="18"/>
      <c r="L196" s="19">
        <f>SUM(F196:K196)</f>
        <v>6811130.9499999993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1205997.55</v>
      </c>
      <c r="G197" s="18">
        <v>605090.93000000005</v>
      </c>
      <c r="H197" s="18">
        <v>162279.32999999999</v>
      </c>
      <c r="I197" s="18">
        <v>2092.5100000000002</v>
      </c>
      <c r="J197" s="18">
        <v>0</v>
      </c>
      <c r="K197" s="18">
        <v>190</v>
      </c>
      <c r="L197" s="19">
        <f>SUM(F197:K197)</f>
        <v>1975650.32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35507</v>
      </c>
      <c r="G199" s="18">
        <v>17303.48</v>
      </c>
      <c r="H199" s="18">
        <v>2730</v>
      </c>
      <c r="I199" s="18"/>
      <c r="J199" s="18"/>
      <c r="K199" s="18"/>
      <c r="L199" s="19">
        <f>SUM(F199:K199)</f>
        <v>55540.479999999996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1363608.84</v>
      </c>
      <c r="G201" s="18">
        <v>689202.12</v>
      </c>
      <c r="H201" s="18">
        <v>22338.5</v>
      </c>
      <c r="I201" s="18">
        <v>16136.59</v>
      </c>
      <c r="J201" s="18">
        <v>781.49</v>
      </c>
      <c r="K201" s="18">
        <v>3051.01</v>
      </c>
      <c r="L201" s="19">
        <f t="shared" ref="L201:L207" si="0">SUM(F201:K201)</f>
        <v>2095118.55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211795.16</v>
      </c>
      <c r="G202" s="18">
        <v>110178.88</v>
      </c>
      <c r="H202" s="18">
        <v>1932.8</v>
      </c>
      <c r="I202" s="18">
        <v>32619.94</v>
      </c>
      <c r="J202" s="18">
        <v>35029.949999999997</v>
      </c>
      <c r="K202" s="18"/>
      <c r="L202" s="19">
        <f t="shared" si="0"/>
        <v>391556.73000000004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191102.13</v>
      </c>
      <c r="G203" s="18">
        <v>102230.66</v>
      </c>
      <c r="H203" s="18">
        <v>34164.050000000003</v>
      </c>
      <c r="I203" s="18">
        <v>5997.19</v>
      </c>
      <c r="J203" s="18"/>
      <c r="K203" s="18">
        <v>11146.09</v>
      </c>
      <c r="L203" s="19">
        <f t="shared" si="0"/>
        <v>344640.12000000005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402829.08</v>
      </c>
      <c r="G204" s="18">
        <v>207494.79</v>
      </c>
      <c r="H204" s="18">
        <v>3420.07</v>
      </c>
      <c r="I204" s="18">
        <v>1361.37</v>
      </c>
      <c r="J204" s="18"/>
      <c r="K204" s="18"/>
      <c r="L204" s="19">
        <f t="shared" si="0"/>
        <v>615105.30999999994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100405.23</v>
      </c>
      <c r="G205" s="18">
        <v>50389.95</v>
      </c>
      <c r="H205" s="18">
        <v>59952.55</v>
      </c>
      <c r="I205" s="18">
        <v>1838.52</v>
      </c>
      <c r="J205" s="18"/>
      <c r="K205" s="18">
        <v>483.33</v>
      </c>
      <c r="L205" s="19">
        <f t="shared" si="0"/>
        <v>213069.57999999996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419125.75</v>
      </c>
      <c r="G206" s="18">
        <v>209995.36</v>
      </c>
      <c r="H206" s="18">
        <v>244425.88</v>
      </c>
      <c r="I206" s="18">
        <v>243561.82</v>
      </c>
      <c r="J206" s="18">
        <v>18014.560000000001</v>
      </c>
      <c r="K206" s="18">
        <v>1539.72</v>
      </c>
      <c r="L206" s="19">
        <f t="shared" si="0"/>
        <v>1136663.0900000001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375400.99</v>
      </c>
      <c r="I207" s="18"/>
      <c r="J207" s="18"/>
      <c r="K207" s="18"/>
      <c r="L207" s="19">
        <f t="shared" si="0"/>
        <v>375400.99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169535.08</v>
      </c>
      <c r="G208" s="18">
        <v>86048.77</v>
      </c>
      <c r="H208" s="18">
        <v>13759.86</v>
      </c>
      <c r="I208" s="18">
        <v>12508.79</v>
      </c>
      <c r="J208" s="18">
        <v>9392.3700000000008</v>
      </c>
      <c r="K208" s="18">
        <v>1200.02</v>
      </c>
      <c r="L208" s="19">
        <f>SUM(F208:K208)</f>
        <v>292444.88999999996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8497982.209999999</v>
      </c>
      <c r="G210" s="41">
        <f t="shared" si="1"/>
        <v>4324266.32</v>
      </c>
      <c r="H210" s="41">
        <f t="shared" si="1"/>
        <v>935059.0199999999</v>
      </c>
      <c r="I210" s="41">
        <f t="shared" si="1"/>
        <v>450315.99999999994</v>
      </c>
      <c r="J210" s="41">
        <f t="shared" si="1"/>
        <v>81087.289999999994</v>
      </c>
      <c r="K210" s="41">
        <f t="shared" si="1"/>
        <v>17610.170000000002</v>
      </c>
      <c r="L210" s="41">
        <f t="shared" si="1"/>
        <v>14306321.010000002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2263028.5499999998</v>
      </c>
      <c r="G214" s="18">
        <v>1183066.17</v>
      </c>
      <c r="H214" s="18"/>
      <c r="I214" s="18">
        <v>72913.240000000005</v>
      </c>
      <c r="J214" s="18">
        <v>1532.72</v>
      </c>
      <c r="K214" s="18"/>
      <c r="L214" s="19">
        <f>SUM(F214:K214)</f>
        <v>3520540.68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512903.23</v>
      </c>
      <c r="G215" s="18">
        <v>253698.19</v>
      </c>
      <c r="H215" s="18">
        <v>379021.56</v>
      </c>
      <c r="I215" s="18">
        <v>810.35</v>
      </c>
      <c r="J215" s="18"/>
      <c r="K215" s="18"/>
      <c r="L215" s="19">
        <f>SUM(F215:K215)</f>
        <v>1146433.33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v>243930.76</v>
      </c>
      <c r="G216" s="18">
        <v>127682.48</v>
      </c>
      <c r="H216" s="18"/>
      <c r="I216" s="18">
        <v>2641.1</v>
      </c>
      <c r="J216" s="18"/>
      <c r="K216" s="18"/>
      <c r="L216" s="19">
        <f>SUM(F216:K216)</f>
        <v>374254.33999999997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59506</v>
      </c>
      <c r="G217" s="18">
        <v>30225.45</v>
      </c>
      <c r="H217" s="18">
        <v>9640.4</v>
      </c>
      <c r="I217" s="18">
        <v>9591.5</v>
      </c>
      <c r="J217" s="18"/>
      <c r="K217" s="18"/>
      <c r="L217" s="19">
        <f>SUM(F217:K217)</f>
        <v>108963.34999999999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383352.72</v>
      </c>
      <c r="G219" s="18">
        <v>200396.53</v>
      </c>
      <c r="H219" s="18">
        <v>7657.31</v>
      </c>
      <c r="I219" s="18">
        <v>2032.91</v>
      </c>
      <c r="J219" s="18">
        <v>329.77</v>
      </c>
      <c r="K219" s="18"/>
      <c r="L219" s="19">
        <f t="shared" ref="L219:L225" si="2">SUM(F219:K219)</f>
        <v>593769.24000000011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67548.28</v>
      </c>
      <c r="G220" s="18">
        <v>32971.97</v>
      </c>
      <c r="H220" s="18">
        <v>851.59</v>
      </c>
      <c r="I220" s="18">
        <v>16455.32</v>
      </c>
      <c r="J220" s="18">
        <v>16331.87</v>
      </c>
      <c r="K220" s="18"/>
      <c r="L220" s="19">
        <f t="shared" si="2"/>
        <v>134159.03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80624.149999999994</v>
      </c>
      <c r="G221" s="18">
        <v>43106.559999999998</v>
      </c>
      <c r="H221" s="18">
        <v>14412.49</v>
      </c>
      <c r="I221" s="18">
        <v>2530.64</v>
      </c>
      <c r="J221" s="18"/>
      <c r="K221" s="18">
        <v>4703.32</v>
      </c>
      <c r="L221" s="19">
        <f t="shared" si="2"/>
        <v>145377.16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268525.86</v>
      </c>
      <c r="G222" s="18">
        <v>137611.04</v>
      </c>
      <c r="H222" s="18">
        <v>2552.79</v>
      </c>
      <c r="I222" s="18">
        <v>1944.21</v>
      </c>
      <c r="J222" s="18"/>
      <c r="K222" s="18">
        <v>555</v>
      </c>
      <c r="L222" s="19">
        <f t="shared" si="2"/>
        <v>411188.9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42368.01</v>
      </c>
      <c r="G223" s="18">
        <v>21263.05</v>
      </c>
      <c r="H223" s="18">
        <v>25148.639999999999</v>
      </c>
      <c r="I223" s="18">
        <v>775.8</v>
      </c>
      <c r="J223" s="18"/>
      <c r="K223" s="18">
        <v>203.95</v>
      </c>
      <c r="L223" s="19">
        <f t="shared" si="2"/>
        <v>89759.45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200786.19</v>
      </c>
      <c r="G224" s="18">
        <v>100345.89</v>
      </c>
      <c r="H224" s="18">
        <v>65592.570000000007</v>
      </c>
      <c r="I224" s="18">
        <v>125007.4</v>
      </c>
      <c r="J224" s="18">
        <v>7973.28</v>
      </c>
      <c r="K224" s="18">
        <v>649.72</v>
      </c>
      <c r="L224" s="19">
        <f t="shared" si="2"/>
        <v>500355.05000000005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156233.12</v>
      </c>
      <c r="I225" s="18"/>
      <c r="J225" s="18"/>
      <c r="K225" s="18"/>
      <c r="L225" s="19">
        <f t="shared" si="2"/>
        <v>156233.12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71538.740000000005</v>
      </c>
      <c r="G226" s="18">
        <v>36310.01</v>
      </c>
      <c r="H226" s="18">
        <v>5806.25</v>
      </c>
      <c r="I226" s="18">
        <v>5278.34</v>
      </c>
      <c r="J226" s="18">
        <v>3963.3</v>
      </c>
      <c r="K226" s="18">
        <v>506.37</v>
      </c>
      <c r="L226" s="19">
        <f>SUM(F226:K226)</f>
        <v>123403.01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4194112.4899999993</v>
      </c>
      <c r="G228" s="41">
        <f>SUM(G214:G227)</f>
        <v>2166677.34</v>
      </c>
      <c r="H228" s="41">
        <f>SUM(H214:H227)</f>
        <v>666916.72</v>
      </c>
      <c r="I228" s="41">
        <f>SUM(I214:I227)</f>
        <v>239980.81000000003</v>
      </c>
      <c r="J228" s="41">
        <f>SUM(J214:J227)</f>
        <v>30130.94</v>
      </c>
      <c r="K228" s="41">
        <f t="shared" si="3"/>
        <v>6618.36</v>
      </c>
      <c r="L228" s="41">
        <f t="shared" si="3"/>
        <v>7304436.6600000001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4336019.3899999997</v>
      </c>
      <c r="G232" s="18">
        <v>2255820.06</v>
      </c>
      <c r="H232" s="18">
        <v>51438.75</v>
      </c>
      <c r="I232" s="18">
        <v>128152.79</v>
      </c>
      <c r="J232" s="18">
        <v>18527.13</v>
      </c>
      <c r="K232" s="18">
        <v>1125</v>
      </c>
      <c r="L232" s="19">
        <f>SUM(F232:K232)</f>
        <v>6791083.1199999992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639430.81999999995</v>
      </c>
      <c r="G233" s="18">
        <v>328242.46000000002</v>
      </c>
      <c r="H233" s="18">
        <v>548107.6</v>
      </c>
      <c r="I233" s="18">
        <v>1566.39</v>
      </c>
      <c r="J233" s="18"/>
      <c r="K233" s="18"/>
      <c r="L233" s="19">
        <f>SUM(F233:K233)</f>
        <v>1517347.2699999998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363401.11</v>
      </c>
      <c r="G234" s="18">
        <v>188145.22</v>
      </c>
      <c r="H234" s="18">
        <v>7628.76</v>
      </c>
      <c r="I234" s="18">
        <v>24820.82</v>
      </c>
      <c r="J234" s="18">
        <v>3628.18</v>
      </c>
      <c r="K234" s="18"/>
      <c r="L234" s="19">
        <f>SUM(F234:K234)</f>
        <v>587624.09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242320.24</v>
      </c>
      <c r="G235" s="18">
        <v>113161.36</v>
      </c>
      <c r="H235" s="18">
        <v>79364.92</v>
      </c>
      <c r="I235" s="18">
        <v>58642.7</v>
      </c>
      <c r="J235" s="18"/>
      <c r="K235" s="18"/>
      <c r="L235" s="19">
        <f>SUM(F235:K235)</f>
        <v>493489.22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830955.74</v>
      </c>
      <c r="G237" s="18">
        <v>427806.79</v>
      </c>
      <c r="H237" s="18">
        <v>21295.45</v>
      </c>
      <c r="I237" s="18">
        <v>6545.25</v>
      </c>
      <c r="J237" s="18">
        <v>763.14</v>
      </c>
      <c r="K237" s="18">
        <v>12756.11</v>
      </c>
      <c r="L237" s="19">
        <f t="shared" ref="L237:L243" si="4">SUM(F237:K237)</f>
        <v>1300122.48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48190.78</v>
      </c>
      <c r="G238" s="18">
        <v>25401.08</v>
      </c>
      <c r="H238" s="18">
        <v>4300</v>
      </c>
      <c r="I238" s="18">
        <v>19356.18</v>
      </c>
      <c r="J238" s="18">
        <v>34207.24</v>
      </c>
      <c r="K238" s="18"/>
      <c r="L238" s="19">
        <f t="shared" si="4"/>
        <v>131455.28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386056.01</v>
      </c>
      <c r="G239" s="18">
        <v>202263.55</v>
      </c>
      <c r="H239" s="18">
        <v>44683.58</v>
      </c>
      <c r="I239" s="18">
        <v>5856.34</v>
      </c>
      <c r="J239" s="18"/>
      <c r="K239" s="18">
        <v>19728.12</v>
      </c>
      <c r="L239" s="19">
        <f t="shared" si="4"/>
        <v>658587.6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481108.86</v>
      </c>
      <c r="G240" s="18">
        <v>247375.83</v>
      </c>
      <c r="H240" s="18">
        <v>58138.34</v>
      </c>
      <c r="I240" s="18">
        <v>4754.1899999999996</v>
      </c>
      <c r="J240" s="18"/>
      <c r="K240" s="18">
        <v>4425</v>
      </c>
      <c r="L240" s="19">
        <f t="shared" si="4"/>
        <v>795802.21999999986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98047.12</v>
      </c>
      <c r="G241" s="18">
        <v>49453.24</v>
      </c>
      <c r="H241" s="18">
        <v>61668.09</v>
      </c>
      <c r="I241" s="18">
        <v>1795.34</v>
      </c>
      <c r="J241" s="18"/>
      <c r="K241" s="18">
        <v>471.97</v>
      </c>
      <c r="L241" s="19">
        <f t="shared" si="4"/>
        <v>211435.75999999998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557963.05000000005</v>
      </c>
      <c r="G242" s="18">
        <v>278846.95</v>
      </c>
      <c r="H242" s="18">
        <v>296361.26</v>
      </c>
      <c r="I242" s="18">
        <v>509286.33</v>
      </c>
      <c r="J242" s="18">
        <v>25681.98</v>
      </c>
      <c r="K242" s="18">
        <v>5331.56</v>
      </c>
      <c r="L242" s="19">
        <f t="shared" si="4"/>
        <v>1673471.1300000001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382741.92</v>
      </c>
      <c r="I243" s="18"/>
      <c r="J243" s="18"/>
      <c r="K243" s="18"/>
      <c r="L243" s="19">
        <f t="shared" si="4"/>
        <v>382741.92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165553.38</v>
      </c>
      <c r="G244" s="18">
        <v>84027.31</v>
      </c>
      <c r="H244" s="18">
        <v>13436.69</v>
      </c>
      <c r="I244" s="18">
        <v>12215.01</v>
      </c>
      <c r="J244" s="18">
        <v>9171.7900000000009</v>
      </c>
      <c r="K244" s="18">
        <v>1135.74</v>
      </c>
      <c r="L244" s="19">
        <f>SUM(F244:K244)</f>
        <v>285539.92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8149046.5000000009</v>
      </c>
      <c r="G246" s="41">
        <f t="shared" si="5"/>
        <v>4200543.8500000006</v>
      </c>
      <c r="H246" s="41">
        <f t="shared" si="5"/>
        <v>1569165.3599999999</v>
      </c>
      <c r="I246" s="41">
        <f t="shared" si="5"/>
        <v>772991.34000000008</v>
      </c>
      <c r="J246" s="41">
        <f t="shared" si="5"/>
        <v>91979.459999999992</v>
      </c>
      <c r="K246" s="41">
        <f t="shared" si="5"/>
        <v>44973.499999999993</v>
      </c>
      <c r="L246" s="41">
        <f t="shared" si="5"/>
        <v>14828700.01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>
        <v>29253.89</v>
      </c>
      <c r="I250" s="18"/>
      <c r="J250" s="18"/>
      <c r="K250" s="18"/>
      <c r="L250" s="19">
        <f t="shared" si="6"/>
        <v>29253.89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29253.89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29253.89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20841141.199999999</v>
      </c>
      <c r="G256" s="41">
        <f t="shared" si="8"/>
        <v>10691487.510000002</v>
      </c>
      <c r="H256" s="41">
        <f t="shared" si="8"/>
        <v>3200394.9899999998</v>
      </c>
      <c r="I256" s="41">
        <f t="shared" si="8"/>
        <v>1463288.15</v>
      </c>
      <c r="J256" s="41">
        <f t="shared" si="8"/>
        <v>203197.69</v>
      </c>
      <c r="K256" s="41">
        <f t="shared" si="8"/>
        <v>69202.03</v>
      </c>
      <c r="L256" s="41">
        <f t="shared" si="8"/>
        <v>36468711.57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1168.6600000000001</v>
      </c>
      <c r="L262" s="19">
        <f>SUM(F262:K262)</f>
        <v>1168.6600000000001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735141.98</v>
      </c>
      <c r="L263" s="19">
        <f t="shared" ref="L263:L269" si="9">SUM(F263:K263)</f>
        <v>735141.98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736310.64</v>
      </c>
      <c r="L269" s="41">
        <f t="shared" si="9"/>
        <v>736310.64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20841141.199999999</v>
      </c>
      <c r="G270" s="42">
        <f t="shared" si="11"/>
        <v>10691487.510000002</v>
      </c>
      <c r="H270" s="42">
        <f t="shared" si="11"/>
        <v>3200394.9899999998</v>
      </c>
      <c r="I270" s="42">
        <f t="shared" si="11"/>
        <v>1463288.15</v>
      </c>
      <c r="J270" s="42">
        <f t="shared" si="11"/>
        <v>203197.69</v>
      </c>
      <c r="K270" s="42">
        <f t="shared" si="11"/>
        <v>805512.67</v>
      </c>
      <c r="L270" s="42">
        <f t="shared" si="11"/>
        <v>37205022.210000001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311021.78000000003</v>
      </c>
      <c r="G275" s="18">
        <v>57446.35</v>
      </c>
      <c r="H275" s="18">
        <v>1289.5899999999999</v>
      </c>
      <c r="I275" s="18">
        <v>3845.69</v>
      </c>
      <c r="J275" s="18"/>
      <c r="K275" s="18"/>
      <c r="L275" s="19">
        <f>SUM(F275:K275)</f>
        <v>373603.41000000003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718143.51</v>
      </c>
      <c r="G276" s="18">
        <v>137291.85</v>
      </c>
      <c r="H276" s="18">
        <v>32728.2</v>
      </c>
      <c r="I276" s="18">
        <v>9730.7199999999993</v>
      </c>
      <c r="J276" s="18">
        <v>4688.78</v>
      </c>
      <c r="K276" s="18"/>
      <c r="L276" s="19">
        <f>SUM(F276:K276)</f>
        <v>902583.05999999994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22311.200000000001</v>
      </c>
      <c r="G278" s="18">
        <v>770.82</v>
      </c>
      <c r="H278" s="18">
        <v>13555</v>
      </c>
      <c r="I278" s="18">
        <v>6065.98</v>
      </c>
      <c r="J278" s="18"/>
      <c r="K278" s="18"/>
      <c r="L278" s="19">
        <f>SUM(F278:K278)</f>
        <v>42703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64444.62</v>
      </c>
      <c r="G280" s="18">
        <v>7137.49</v>
      </c>
      <c r="H280" s="18">
        <v>74359.679999999993</v>
      </c>
      <c r="I280" s="18">
        <v>18034.04</v>
      </c>
      <c r="J280" s="18"/>
      <c r="K280" s="18">
        <v>85.96</v>
      </c>
      <c r="L280" s="19">
        <f t="shared" ref="L280:L286" si="12">SUM(F280:K280)</f>
        <v>164061.78999999998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8126.4</v>
      </c>
      <c r="G281" s="18">
        <v>1663.13</v>
      </c>
      <c r="H281" s="18">
        <v>77355.929999999993</v>
      </c>
      <c r="I281" s="18">
        <v>841.27</v>
      </c>
      <c r="J281" s="18">
        <v>4722.1499999999996</v>
      </c>
      <c r="K281" s="18"/>
      <c r="L281" s="19">
        <f t="shared" si="12"/>
        <v>92708.87999999999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56061.23</v>
      </c>
      <c r="G282" s="18">
        <v>10615.77</v>
      </c>
      <c r="H282" s="18"/>
      <c r="I282" s="18">
        <v>316.08999999999997</v>
      </c>
      <c r="J282" s="18"/>
      <c r="K282" s="18"/>
      <c r="L282" s="19">
        <f t="shared" si="12"/>
        <v>66993.09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v>18029.509999999998</v>
      </c>
      <c r="I286" s="18"/>
      <c r="J286" s="18"/>
      <c r="K286" s="18"/>
      <c r="L286" s="19">
        <f t="shared" si="12"/>
        <v>18029.509999999998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1180108.74</v>
      </c>
      <c r="G289" s="42">
        <f t="shared" si="13"/>
        <v>214925.41</v>
      </c>
      <c r="H289" s="42">
        <f t="shared" si="13"/>
        <v>217317.91</v>
      </c>
      <c r="I289" s="42">
        <f t="shared" si="13"/>
        <v>38833.789999999994</v>
      </c>
      <c r="J289" s="42">
        <f t="shared" si="13"/>
        <v>9410.93</v>
      </c>
      <c r="K289" s="42">
        <f t="shared" si="13"/>
        <v>85.96</v>
      </c>
      <c r="L289" s="41">
        <f t="shared" si="13"/>
        <v>1660682.74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98.87</v>
      </c>
      <c r="G294" s="18">
        <v>7.56</v>
      </c>
      <c r="H294" s="18">
        <v>7.72</v>
      </c>
      <c r="I294" s="18">
        <v>264.99</v>
      </c>
      <c r="J294" s="18"/>
      <c r="K294" s="18"/>
      <c r="L294" s="19">
        <f>SUM(F294:K294)</f>
        <v>379.14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422493.89</v>
      </c>
      <c r="G295" s="18">
        <v>65281.08</v>
      </c>
      <c r="H295" s="18">
        <v>19978.96</v>
      </c>
      <c r="I295" s="18">
        <v>1780.68</v>
      </c>
      <c r="J295" s="18">
        <v>1978.52</v>
      </c>
      <c r="K295" s="18"/>
      <c r="L295" s="19">
        <f>SUM(F295:K295)</f>
        <v>511513.13000000006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1960</v>
      </c>
      <c r="G299" s="18">
        <v>362.36</v>
      </c>
      <c r="H299" s="18">
        <v>17535.27</v>
      </c>
      <c r="I299" s="18">
        <v>3621.22</v>
      </c>
      <c r="J299" s="18"/>
      <c r="K299" s="18"/>
      <c r="L299" s="19">
        <f t="shared" ref="L299:L305" si="14">SUM(F299:K299)</f>
        <v>23478.850000000002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>
        <v>298.29000000000002</v>
      </c>
      <c r="H300" s="18">
        <v>1646.38</v>
      </c>
      <c r="I300" s="18"/>
      <c r="J300" s="18"/>
      <c r="K300" s="18"/>
      <c r="L300" s="19">
        <f t="shared" si="14"/>
        <v>1944.67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>
        <v>12228.05</v>
      </c>
      <c r="G301" s="18">
        <v>2207.4</v>
      </c>
      <c r="H301" s="18"/>
      <c r="I301" s="18"/>
      <c r="J301" s="18"/>
      <c r="K301" s="18"/>
      <c r="L301" s="19">
        <f t="shared" si="14"/>
        <v>14435.449999999999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>
        <v>4900.41</v>
      </c>
      <c r="I305" s="18"/>
      <c r="J305" s="18"/>
      <c r="K305" s="18"/>
      <c r="L305" s="19">
        <f t="shared" si="14"/>
        <v>4900.41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436780.81</v>
      </c>
      <c r="G308" s="42">
        <f t="shared" si="15"/>
        <v>68156.689999999988</v>
      </c>
      <c r="H308" s="42">
        <f t="shared" si="15"/>
        <v>44068.739999999991</v>
      </c>
      <c r="I308" s="42">
        <f t="shared" si="15"/>
        <v>5666.8899999999994</v>
      </c>
      <c r="J308" s="42">
        <f t="shared" si="15"/>
        <v>1978.52</v>
      </c>
      <c r="K308" s="42">
        <f t="shared" si="15"/>
        <v>0</v>
      </c>
      <c r="L308" s="41">
        <f t="shared" si="15"/>
        <v>556651.65000000014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228.81</v>
      </c>
      <c r="G313" s="18">
        <v>17.5</v>
      </c>
      <c r="H313" s="18">
        <v>17.86</v>
      </c>
      <c r="I313" s="18">
        <v>613.24</v>
      </c>
      <c r="J313" s="18">
        <v>6977.55</v>
      </c>
      <c r="K313" s="18"/>
      <c r="L313" s="19">
        <f>SUM(F313:K313)</f>
        <v>7854.96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1230263.6499999999</v>
      </c>
      <c r="G314" s="18">
        <v>201587.54</v>
      </c>
      <c r="H314" s="18">
        <v>116070.86</v>
      </c>
      <c r="I314" s="18">
        <v>25538.9</v>
      </c>
      <c r="J314" s="18">
        <v>5658.66</v>
      </c>
      <c r="K314" s="18">
        <v>792.05</v>
      </c>
      <c r="L314" s="19">
        <f>SUM(F314:K314)</f>
        <v>1579911.66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90128.93</v>
      </c>
      <c r="G315" s="18">
        <v>6954.83</v>
      </c>
      <c r="H315" s="18">
        <v>10079.74</v>
      </c>
      <c r="I315" s="18">
        <v>2061.1</v>
      </c>
      <c r="J315" s="18">
        <v>6502.6</v>
      </c>
      <c r="K315" s="18"/>
      <c r="L315" s="19">
        <f>SUM(F315:K315)</f>
        <v>115727.20000000001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7500</v>
      </c>
      <c r="G316" s="18">
        <v>2329.4699999999998</v>
      </c>
      <c r="H316" s="18">
        <v>24168</v>
      </c>
      <c r="I316" s="18">
        <v>7445.92</v>
      </c>
      <c r="J316" s="18"/>
      <c r="K316" s="18"/>
      <c r="L316" s="19">
        <f>SUM(F316:K316)</f>
        <v>41443.39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147985.84</v>
      </c>
      <c r="G318" s="18">
        <v>11725.69</v>
      </c>
      <c r="H318" s="18">
        <v>39861.370000000003</v>
      </c>
      <c r="I318" s="18">
        <v>50324.23</v>
      </c>
      <c r="J318" s="18"/>
      <c r="K318" s="18"/>
      <c r="L318" s="19">
        <f t="shared" ref="L318:L324" si="16">SUM(F318:K318)</f>
        <v>249897.13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>
        <v>690.29</v>
      </c>
      <c r="H319" s="18">
        <v>3763.74</v>
      </c>
      <c r="I319" s="18"/>
      <c r="J319" s="18"/>
      <c r="K319" s="18">
        <v>7227.18</v>
      </c>
      <c r="L319" s="19">
        <f t="shared" si="16"/>
        <v>11681.21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107742.16</v>
      </c>
      <c r="G320" s="18">
        <v>17685.63</v>
      </c>
      <c r="H320" s="18"/>
      <c r="I320" s="18"/>
      <c r="J320" s="18"/>
      <c r="K320" s="18"/>
      <c r="L320" s="19">
        <f t="shared" si="16"/>
        <v>125427.79000000001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>
        <v>91831.24</v>
      </c>
      <c r="G321" s="18">
        <v>9743.06</v>
      </c>
      <c r="H321" s="18"/>
      <c r="I321" s="18"/>
      <c r="J321" s="18"/>
      <c r="K321" s="18"/>
      <c r="L321" s="19">
        <f t="shared" si="16"/>
        <v>101574.3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>
        <v>1140.0899999999999</v>
      </c>
      <c r="I322" s="18"/>
      <c r="J322" s="18"/>
      <c r="K322" s="18"/>
      <c r="L322" s="19">
        <f t="shared" si="16"/>
        <v>1140.0899999999999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>
        <v>15738.05</v>
      </c>
      <c r="G323" s="18">
        <v>2564.86</v>
      </c>
      <c r="H323" s="18">
        <v>3395.98</v>
      </c>
      <c r="I323" s="18">
        <v>29093.99</v>
      </c>
      <c r="J323" s="18"/>
      <c r="K323" s="18"/>
      <c r="L323" s="19">
        <f t="shared" si="16"/>
        <v>50792.880000000005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>
        <v>12355.32</v>
      </c>
      <c r="I324" s="18"/>
      <c r="J324" s="18"/>
      <c r="K324" s="18"/>
      <c r="L324" s="19">
        <f t="shared" si="16"/>
        <v>12355.32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1691418.68</v>
      </c>
      <c r="G327" s="42">
        <f t="shared" si="17"/>
        <v>253298.87</v>
      </c>
      <c r="H327" s="42">
        <f t="shared" si="17"/>
        <v>210852.96000000002</v>
      </c>
      <c r="I327" s="42">
        <f t="shared" si="17"/>
        <v>115077.38000000002</v>
      </c>
      <c r="J327" s="42">
        <f t="shared" si="17"/>
        <v>19138.809999999998</v>
      </c>
      <c r="K327" s="42">
        <f t="shared" si="17"/>
        <v>8019.2300000000005</v>
      </c>
      <c r="L327" s="41">
        <f t="shared" si="17"/>
        <v>2297805.9299999992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22388</v>
      </c>
      <c r="G332" s="18">
        <v>1774.34</v>
      </c>
      <c r="H332" s="18">
        <v>1046.25</v>
      </c>
      <c r="I332" s="18">
        <v>563.05999999999995</v>
      </c>
      <c r="J332" s="18"/>
      <c r="K332" s="18"/>
      <c r="L332" s="19">
        <f t="shared" si="18"/>
        <v>25771.65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22388</v>
      </c>
      <c r="G336" s="41">
        <f t="shared" si="19"/>
        <v>1774.34</v>
      </c>
      <c r="H336" s="41">
        <f t="shared" si="19"/>
        <v>1046.25</v>
      </c>
      <c r="I336" s="41">
        <f t="shared" si="19"/>
        <v>563.05999999999995</v>
      </c>
      <c r="J336" s="41">
        <f t="shared" si="19"/>
        <v>0</v>
      </c>
      <c r="K336" s="41">
        <f t="shared" si="19"/>
        <v>0</v>
      </c>
      <c r="L336" s="41">
        <f t="shared" si="18"/>
        <v>25771.65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3330696.23</v>
      </c>
      <c r="G337" s="41">
        <f t="shared" si="20"/>
        <v>538155.30999999994</v>
      </c>
      <c r="H337" s="41">
        <f t="shared" si="20"/>
        <v>473285.86</v>
      </c>
      <c r="I337" s="41">
        <f t="shared" si="20"/>
        <v>160141.12</v>
      </c>
      <c r="J337" s="41">
        <f t="shared" si="20"/>
        <v>30528.26</v>
      </c>
      <c r="K337" s="41">
        <f t="shared" si="20"/>
        <v>8105.1900000000005</v>
      </c>
      <c r="L337" s="41">
        <f t="shared" si="20"/>
        <v>4540911.97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3330696.23</v>
      </c>
      <c r="G351" s="41">
        <f>G337</f>
        <v>538155.30999999994</v>
      </c>
      <c r="H351" s="41">
        <f>H337</f>
        <v>473285.86</v>
      </c>
      <c r="I351" s="41">
        <f>I337</f>
        <v>160141.12</v>
      </c>
      <c r="J351" s="41">
        <f>J337</f>
        <v>30528.26</v>
      </c>
      <c r="K351" s="47">
        <f>K337+K350</f>
        <v>8105.1900000000005</v>
      </c>
      <c r="L351" s="41">
        <f>L337+L350</f>
        <v>4540911.97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153939.18</v>
      </c>
      <c r="G357" s="18">
        <v>21886.81</v>
      </c>
      <c r="H357" s="18">
        <v>8283.74</v>
      </c>
      <c r="I357" s="18">
        <v>152506.99</v>
      </c>
      <c r="J357" s="18"/>
      <c r="K357" s="18"/>
      <c r="L357" s="13">
        <f>SUM(F357:K357)</f>
        <v>336616.72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78865.600000000006</v>
      </c>
      <c r="G358" s="18">
        <v>10256.209999999999</v>
      </c>
      <c r="H358" s="18">
        <v>4672.88</v>
      </c>
      <c r="I358" s="18">
        <v>86029.58</v>
      </c>
      <c r="J358" s="18"/>
      <c r="K358" s="18"/>
      <c r="L358" s="19">
        <f>SUM(F358:K358)</f>
        <v>179824.27000000002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141392.32999999999</v>
      </c>
      <c r="G359" s="18">
        <v>16279.97</v>
      </c>
      <c r="H359" s="18">
        <v>8283.74</v>
      </c>
      <c r="I359" s="18">
        <v>152506.99</v>
      </c>
      <c r="J359" s="18"/>
      <c r="K359" s="18"/>
      <c r="L359" s="19">
        <f>SUM(F359:K359)</f>
        <v>318463.02999999997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374197.11</v>
      </c>
      <c r="G361" s="47">
        <f t="shared" si="22"/>
        <v>48422.99</v>
      </c>
      <c r="H361" s="47">
        <f t="shared" si="22"/>
        <v>21240.36</v>
      </c>
      <c r="I361" s="47">
        <f t="shared" si="22"/>
        <v>391043.56</v>
      </c>
      <c r="J361" s="47">
        <f t="shared" si="22"/>
        <v>0</v>
      </c>
      <c r="K361" s="47">
        <f t="shared" si="22"/>
        <v>0</v>
      </c>
      <c r="L361" s="47">
        <f t="shared" si="22"/>
        <v>834904.02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140716.17000000001</v>
      </c>
      <c r="G366" s="18">
        <v>79378.350000000006</v>
      </c>
      <c r="H366" s="18">
        <v>140716.17000000001</v>
      </c>
      <c r="I366" s="56">
        <f>SUM(F366:H366)</f>
        <v>360810.69000000006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11790.82</v>
      </c>
      <c r="G367" s="63">
        <v>6651.23</v>
      </c>
      <c r="H367" s="63">
        <v>11790.82</v>
      </c>
      <c r="I367" s="56">
        <f>SUM(F367:H367)</f>
        <v>30232.87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152506.99000000002</v>
      </c>
      <c r="G368" s="47">
        <f>SUM(G366:G367)</f>
        <v>86029.58</v>
      </c>
      <c r="H368" s="47">
        <f>SUM(H366:H367)</f>
        <v>152506.99000000002</v>
      </c>
      <c r="I368" s="47">
        <f>SUM(I366:I367)</f>
        <v>391043.56000000006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 t="s">
        <v>909</v>
      </c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>
        <v>124693.77</v>
      </c>
      <c r="I403" s="18">
        <v>2250</v>
      </c>
      <c r="J403" s="24" t="s">
        <v>289</v>
      </c>
      <c r="K403" s="24" t="s">
        <v>289</v>
      </c>
      <c r="L403" s="56">
        <f>SUM(F403:K403)</f>
        <v>126943.77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124693.77</v>
      </c>
      <c r="I406" s="47">
        <f>SUM(I402:I405)</f>
        <v>2250</v>
      </c>
      <c r="J406" s="49" t="s">
        <v>289</v>
      </c>
      <c r="K406" s="49" t="s">
        <v>289</v>
      </c>
      <c r="L406" s="47">
        <f>SUM(L402:L405)</f>
        <v>126943.77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124693.77</v>
      </c>
      <c r="I407" s="47">
        <f>I392+I400+I406</f>
        <v>2250</v>
      </c>
      <c r="J407" s="24" t="s">
        <v>289</v>
      </c>
      <c r="K407" s="24" t="s">
        <v>289</v>
      </c>
      <c r="L407" s="47">
        <f>L392+L400+L406</f>
        <v>126943.77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 t="s">
        <v>909</v>
      </c>
      <c r="B429" s="6">
        <v>17</v>
      </c>
      <c r="C429" s="6">
        <v>16</v>
      </c>
      <c r="D429" s="2" t="s">
        <v>433</v>
      </c>
      <c r="E429" s="6"/>
      <c r="F429" s="18"/>
      <c r="G429" s="18"/>
      <c r="H429" s="18">
        <v>84575</v>
      </c>
      <c r="I429" s="18"/>
      <c r="J429" s="18"/>
      <c r="K429" s="18">
        <v>13651.59</v>
      </c>
      <c r="L429" s="56">
        <f>SUM(F429:K429)</f>
        <v>98226.59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84575</v>
      </c>
      <c r="I432" s="47">
        <f t="shared" si="31"/>
        <v>0</v>
      </c>
      <c r="J432" s="47">
        <f t="shared" si="31"/>
        <v>0</v>
      </c>
      <c r="K432" s="47">
        <f t="shared" si="31"/>
        <v>13651.59</v>
      </c>
      <c r="L432" s="47">
        <f t="shared" si="31"/>
        <v>98226.59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84575</v>
      </c>
      <c r="I433" s="47">
        <f t="shared" si="32"/>
        <v>0</v>
      </c>
      <c r="J433" s="47">
        <f t="shared" si="32"/>
        <v>0</v>
      </c>
      <c r="K433" s="47">
        <f t="shared" si="32"/>
        <v>13651.59</v>
      </c>
      <c r="L433" s="47">
        <f t="shared" si="32"/>
        <v>98226.59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>
        <v>33418.31</v>
      </c>
      <c r="I438" s="56">
        <f t="shared" ref="I438:I444" si="33">SUM(F438:H438)</f>
        <v>33418.31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>
        <v>4628554.5599999996</v>
      </c>
      <c r="I440" s="56">
        <f t="shared" si="33"/>
        <v>4628554.5599999996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0</v>
      </c>
      <c r="H445" s="13">
        <f>SUM(H438:H444)</f>
        <v>4661972.8699999992</v>
      </c>
      <c r="I445" s="13">
        <f>SUM(I438:I444)</f>
        <v>4661972.8699999992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>
        <v>4661972.87</v>
      </c>
      <c r="I456" s="56">
        <f t="shared" si="34"/>
        <v>4661972.87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/>
      <c r="I458" s="56">
        <f t="shared" si="34"/>
        <v>0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0</v>
      </c>
      <c r="H459" s="83">
        <f>SUM(H453:H458)</f>
        <v>4661972.87</v>
      </c>
      <c r="I459" s="83">
        <f>SUM(I453:I458)</f>
        <v>4661972.87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0</v>
      </c>
      <c r="H460" s="42">
        <f>H451+H459</f>
        <v>4661972.87</v>
      </c>
      <c r="I460" s="42">
        <f>I451+I459</f>
        <v>4661972.87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/>
      <c r="G464" s="18">
        <v>60305.279999999999</v>
      </c>
      <c r="H464" s="18">
        <v>440313.8</v>
      </c>
      <c r="I464" s="18"/>
      <c r="J464" s="18">
        <v>4633255.6900000004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37205022.210000001</v>
      </c>
      <c r="G467" s="18">
        <v>834574.13</v>
      </c>
      <c r="H467" s="18">
        <v>4617312.58</v>
      </c>
      <c r="I467" s="18"/>
      <c r="J467" s="18">
        <v>126943.77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37205022.210000001</v>
      </c>
      <c r="G469" s="53">
        <f>SUM(G467:G468)</f>
        <v>834574.13</v>
      </c>
      <c r="H469" s="53">
        <f>SUM(H467:H468)</f>
        <v>4617312.58</v>
      </c>
      <c r="I469" s="53">
        <f>SUM(I467:I468)</f>
        <v>0</v>
      </c>
      <c r="J469" s="53">
        <f>SUM(J467:J468)</f>
        <v>126943.77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37205022.210000001</v>
      </c>
      <c r="G471" s="18">
        <v>834904.02</v>
      </c>
      <c r="H471" s="18">
        <v>4540911.97</v>
      </c>
      <c r="I471" s="18"/>
      <c r="J471" s="18">
        <v>98226.59</v>
      </c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37205022.210000001</v>
      </c>
      <c r="G473" s="53">
        <f>SUM(G471:G472)</f>
        <v>834904.02</v>
      </c>
      <c r="H473" s="53">
        <f>SUM(H471:H472)</f>
        <v>4540911.97</v>
      </c>
      <c r="I473" s="53">
        <f>SUM(I471:I472)</f>
        <v>0</v>
      </c>
      <c r="J473" s="53">
        <f>SUM(J471:J472)</f>
        <v>98226.59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0</v>
      </c>
      <c r="G475" s="53">
        <f>(G464+G469)- G473</f>
        <v>59975.390000000014</v>
      </c>
      <c r="H475" s="53">
        <f>(H464+H469)- H473</f>
        <v>516714.41000000015</v>
      </c>
      <c r="I475" s="53">
        <f>(I464+I469)- I473</f>
        <v>0</v>
      </c>
      <c r="J475" s="53">
        <f>(J464+J469)- J473</f>
        <v>4661972.87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1631033.14</v>
      </c>
      <c r="G520" s="18">
        <v>596096.05000000005</v>
      </c>
      <c r="H520" s="18">
        <v>178729.58</v>
      </c>
      <c r="I520" s="18">
        <v>5517.25</v>
      </c>
      <c r="J520" s="18">
        <v>4688.78</v>
      </c>
      <c r="K520" s="18"/>
      <c r="L520" s="88">
        <f>SUM(F520:K520)</f>
        <v>2416064.7999999998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912112.73</v>
      </c>
      <c r="G521" s="18">
        <v>307204.46000000002</v>
      </c>
      <c r="H521" s="18">
        <v>398322.62</v>
      </c>
      <c r="I521" s="18">
        <v>2387.04</v>
      </c>
      <c r="J521" s="18">
        <v>1978.52</v>
      </c>
      <c r="K521" s="18"/>
      <c r="L521" s="88">
        <f>SUM(F521:K521)</f>
        <v>1622005.37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1811336.35</v>
      </c>
      <c r="G522" s="18">
        <v>501060.97</v>
      </c>
      <c r="H522" s="18">
        <v>662609.68000000005</v>
      </c>
      <c r="I522" s="18">
        <v>26191.06</v>
      </c>
      <c r="J522" s="18">
        <v>5658.66</v>
      </c>
      <c r="K522" s="18">
        <v>792.05</v>
      </c>
      <c r="L522" s="88">
        <f>SUM(F522:K522)</f>
        <v>3007648.7700000005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4354482.2200000007</v>
      </c>
      <c r="G523" s="108">
        <f t="shared" ref="G523:L523" si="36">SUM(G520:G522)</f>
        <v>1404361.48</v>
      </c>
      <c r="H523" s="108">
        <f t="shared" si="36"/>
        <v>1239661.8799999999</v>
      </c>
      <c r="I523" s="108">
        <f t="shared" si="36"/>
        <v>34095.35</v>
      </c>
      <c r="J523" s="108">
        <f t="shared" si="36"/>
        <v>12325.96</v>
      </c>
      <c r="K523" s="108">
        <f t="shared" si="36"/>
        <v>792.05</v>
      </c>
      <c r="L523" s="89">
        <f t="shared" si="36"/>
        <v>7045718.9400000004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423945.56</v>
      </c>
      <c r="G525" s="18">
        <v>206997.1</v>
      </c>
      <c r="H525" s="18">
        <v>18988.52</v>
      </c>
      <c r="I525" s="18">
        <v>1333.65</v>
      </c>
      <c r="J525" s="18"/>
      <c r="K525" s="18"/>
      <c r="L525" s="88">
        <f>SUM(F525:K525)</f>
        <v>651264.83000000007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78175.75</v>
      </c>
      <c r="G526" s="18">
        <v>41519.03</v>
      </c>
      <c r="H526" s="18">
        <v>19244.68</v>
      </c>
      <c r="I526" s="18">
        <v>984.91</v>
      </c>
      <c r="J526" s="18"/>
      <c r="K526" s="18"/>
      <c r="L526" s="88">
        <f>SUM(F526:K526)</f>
        <v>139924.37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116496.71</v>
      </c>
      <c r="G527" s="18">
        <v>49400.07</v>
      </c>
      <c r="H527" s="18">
        <v>45884.42</v>
      </c>
      <c r="I527" s="18">
        <v>6208.21</v>
      </c>
      <c r="J527" s="18"/>
      <c r="K527" s="18">
        <v>242</v>
      </c>
      <c r="L527" s="88">
        <f>SUM(F527:K527)</f>
        <v>218231.41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618618.02</v>
      </c>
      <c r="G528" s="89">
        <f t="shared" ref="G528:L528" si="37">SUM(G525:G527)</f>
        <v>297916.2</v>
      </c>
      <c r="H528" s="89">
        <f t="shared" si="37"/>
        <v>84117.62</v>
      </c>
      <c r="I528" s="89">
        <f t="shared" si="37"/>
        <v>8526.77</v>
      </c>
      <c r="J528" s="89">
        <f t="shared" si="37"/>
        <v>0</v>
      </c>
      <c r="K528" s="89">
        <f t="shared" si="37"/>
        <v>242</v>
      </c>
      <c r="L528" s="89">
        <f t="shared" si="37"/>
        <v>1009420.6100000001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8465.23</v>
      </c>
      <c r="G530" s="18">
        <v>1796.2</v>
      </c>
      <c r="H530" s="18">
        <v>8.8000000000000007</v>
      </c>
      <c r="I530" s="18"/>
      <c r="J530" s="18"/>
      <c r="K530" s="18"/>
      <c r="L530" s="88">
        <f>SUM(F530:K530)</f>
        <v>10270.23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12228.05</v>
      </c>
      <c r="G531" s="18">
        <v>2207.4</v>
      </c>
      <c r="H531" s="18"/>
      <c r="I531" s="18"/>
      <c r="J531" s="18"/>
      <c r="K531" s="18"/>
      <c r="L531" s="88">
        <f>SUM(F531:K531)</f>
        <v>14435.449999999999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175345.92000000001</v>
      </c>
      <c r="G532" s="18">
        <v>42960.28</v>
      </c>
      <c r="H532" s="18">
        <v>1185.6500000000001</v>
      </c>
      <c r="I532" s="18"/>
      <c r="J532" s="18"/>
      <c r="K532" s="18"/>
      <c r="L532" s="88">
        <f>SUM(F532:K532)</f>
        <v>219491.85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196039.2</v>
      </c>
      <c r="G533" s="89">
        <f t="shared" ref="G533:L533" si="38">SUM(G530:G532)</f>
        <v>46963.88</v>
      </c>
      <c r="H533" s="89">
        <f t="shared" si="38"/>
        <v>1194.45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244197.53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27813.73</v>
      </c>
      <c r="I535" s="18"/>
      <c r="J535" s="18"/>
      <c r="K535" s="18"/>
      <c r="L535" s="88">
        <f>SUM(F535:K535)</f>
        <v>27813.73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11736.56</v>
      </c>
      <c r="I536" s="18"/>
      <c r="J536" s="18"/>
      <c r="K536" s="18"/>
      <c r="L536" s="88">
        <f>SUM(F536:K536)</f>
        <v>11736.56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27160.5</v>
      </c>
      <c r="I537" s="18"/>
      <c r="J537" s="18"/>
      <c r="K537" s="18"/>
      <c r="L537" s="88">
        <f>SUM(F537:K537)</f>
        <v>27160.5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66710.790000000008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66710.790000000008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102986.43</v>
      </c>
      <c r="I540" s="18"/>
      <c r="J540" s="18"/>
      <c r="K540" s="18"/>
      <c r="L540" s="88">
        <f>SUM(F540:K540)</f>
        <v>102986.43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27336.89</v>
      </c>
      <c r="I541" s="18"/>
      <c r="J541" s="18"/>
      <c r="K541" s="18"/>
      <c r="L541" s="88">
        <f>SUM(F541:K541)</f>
        <v>27336.89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69952.789999999994</v>
      </c>
      <c r="I542" s="18"/>
      <c r="J542" s="18"/>
      <c r="K542" s="18"/>
      <c r="L542" s="88">
        <f>SUM(F542:K542)</f>
        <v>69952.789999999994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200276.11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200276.11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5169139.4400000004</v>
      </c>
      <c r="G544" s="89">
        <f t="shared" ref="G544:L544" si="41">G523+G528+G533+G538+G543</f>
        <v>1749241.5599999998</v>
      </c>
      <c r="H544" s="89">
        <f t="shared" si="41"/>
        <v>1591960.85</v>
      </c>
      <c r="I544" s="89">
        <f t="shared" si="41"/>
        <v>42622.119999999995</v>
      </c>
      <c r="J544" s="89">
        <f t="shared" si="41"/>
        <v>12325.96</v>
      </c>
      <c r="K544" s="89">
        <f t="shared" si="41"/>
        <v>1034.05</v>
      </c>
      <c r="L544" s="89">
        <f t="shared" si="41"/>
        <v>8566323.9800000004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2416064.7999999998</v>
      </c>
      <c r="G548" s="87">
        <f>L525</f>
        <v>651264.83000000007</v>
      </c>
      <c r="H548" s="87">
        <f>L530</f>
        <v>10270.23</v>
      </c>
      <c r="I548" s="87">
        <f>L535</f>
        <v>27813.73</v>
      </c>
      <c r="J548" s="87">
        <f>L540</f>
        <v>102986.43</v>
      </c>
      <c r="K548" s="87">
        <f>SUM(F548:J548)</f>
        <v>3208400.02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1622005.37</v>
      </c>
      <c r="G549" s="87">
        <f>L526</f>
        <v>139924.37</v>
      </c>
      <c r="H549" s="87">
        <f>L531</f>
        <v>14435.449999999999</v>
      </c>
      <c r="I549" s="87">
        <f>L536</f>
        <v>11736.56</v>
      </c>
      <c r="J549" s="87">
        <f>L541</f>
        <v>27336.89</v>
      </c>
      <c r="K549" s="87">
        <f>SUM(F549:J549)</f>
        <v>1815438.6400000001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3007648.7700000005</v>
      </c>
      <c r="G550" s="87">
        <f>L527</f>
        <v>218231.41</v>
      </c>
      <c r="H550" s="87">
        <f>L532</f>
        <v>219491.85</v>
      </c>
      <c r="I550" s="87">
        <f>L537</f>
        <v>27160.5</v>
      </c>
      <c r="J550" s="87">
        <f>L542</f>
        <v>69952.789999999994</v>
      </c>
      <c r="K550" s="87">
        <f>SUM(F550:J550)</f>
        <v>3542485.3200000008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7045718.9400000004</v>
      </c>
      <c r="G551" s="89">
        <f t="shared" si="42"/>
        <v>1009420.6100000001</v>
      </c>
      <c r="H551" s="89">
        <f t="shared" si="42"/>
        <v>244197.53</v>
      </c>
      <c r="I551" s="89">
        <f t="shared" si="42"/>
        <v>66710.790000000008</v>
      </c>
      <c r="J551" s="89">
        <f t="shared" si="42"/>
        <v>200276.11</v>
      </c>
      <c r="K551" s="89">
        <f t="shared" si="42"/>
        <v>8566323.9800000004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>
        <v>860000.17</v>
      </c>
      <c r="G556" s="18">
        <v>177675.45</v>
      </c>
      <c r="H556" s="18">
        <v>138841.48000000001</v>
      </c>
      <c r="I556" s="18">
        <v>30057.62</v>
      </c>
      <c r="J556" s="18"/>
      <c r="K556" s="18">
        <v>85.96</v>
      </c>
      <c r="L556" s="88">
        <f>SUM(F556:K556)</f>
        <v>1206660.6800000002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>
        <v>82579.199999999997</v>
      </c>
      <c r="G557" s="18">
        <v>15518.12</v>
      </c>
      <c r="H557" s="18"/>
      <c r="I557" s="18">
        <v>400.74</v>
      </c>
      <c r="J557" s="18"/>
      <c r="K557" s="18"/>
      <c r="L557" s="88">
        <f>SUM(F557:K557)</f>
        <v>98498.06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>
        <v>52998.92</v>
      </c>
      <c r="G558" s="18">
        <v>8647.56</v>
      </c>
      <c r="H558" s="18">
        <v>71735.179999999993</v>
      </c>
      <c r="I558" s="18">
        <v>1156.82</v>
      </c>
      <c r="J558" s="18"/>
      <c r="K558" s="18">
        <v>3457.58</v>
      </c>
      <c r="L558" s="88">
        <f>SUM(F558:K558)</f>
        <v>137996.05999999997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995578.29</v>
      </c>
      <c r="G559" s="108">
        <f t="shared" si="43"/>
        <v>201841.13</v>
      </c>
      <c r="H559" s="108">
        <f t="shared" si="43"/>
        <v>210576.66</v>
      </c>
      <c r="I559" s="108">
        <f t="shared" si="43"/>
        <v>31615.18</v>
      </c>
      <c r="J559" s="108">
        <f t="shared" si="43"/>
        <v>0</v>
      </c>
      <c r="K559" s="108">
        <f t="shared" si="43"/>
        <v>3543.54</v>
      </c>
      <c r="L559" s="89">
        <f t="shared" si="43"/>
        <v>1443154.8000000003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80816.69</v>
      </c>
      <c r="G561" s="18">
        <v>16195.4</v>
      </c>
      <c r="H561" s="18">
        <v>1624.8</v>
      </c>
      <c r="I561" s="18">
        <v>680.28</v>
      </c>
      <c r="J561" s="18"/>
      <c r="K561" s="18"/>
      <c r="L561" s="88">
        <f>SUM(F561:K561)</f>
        <v>99317.17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25316.26</v>
      </c>
      <c r="G562" s="18">
        <v>7897.57</v>
      </c>
      <c r="H562" s="18">
        <v>685.62</v>
      </c>
      <c r="I562" s="18">
        <v>287.05</v>
      </c>
      <c r="J562" s="18"/>
      <c r="K562" s="18"/>
      <c r="L562" s="88">
        <f>SUM(F562:K562)</f>
        <v>34186.500000000007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58586.34</v>
      </c>
      <c r="G563" s="18">
        <v>10446.32</v>
      </c>
      <c r="H563" s="18">
        <v>1586.64</v>
      </c>
      <c r="I563" s="18">
        <v>664.31</v>
      </c>
      <c r="J563" s="18"/>
      <c r="K563" s="18"/>
      <c r="L563" s="88">
        <f>SUM(F563:K563)</f>
        <v>71283.61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164719.28999999998</v>
      </c>
      <c r="G564" s="89">
        <f t="shared" si="44"/>
        <v>34539.29</v>
      </c>
      <c r="H564" s="89">
        <f t="shared" si="44"/>
        <v>3897.0600000000004</v>
      </c>
      <c r="I564" s="89">
        <f t="shared" si="44"/>
        <v>1631.6399999999999</v>
      </c>
      <c r="J564" s="89">
        <f t="shared" si="44"/>
        <v>0</v>
      </c>
      <c r="K564" s="89">
        <f t="shared" si="44"/>
        <v>0</v>
      </c>
      <c r="L564" s="89">
        <f t="shared" si="44"/>
        <v>204787.28000000003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v>7735</v>
      </c>
      <c r="G566" s="18">
        <v>1032.03</v>
      </c>
      <c r="H566" s="18">
        <v>8922</v>
      </c>
      <c r="I566" s="18">
        <v>11798.67</v>
      </c>
      <c r="J566" s="18"/>
      <c r="K566" s="18"/>
      <c r="L566" s="88">
        <f>SUM(F566:K566)</f>
        <v>29487.699999999997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>
        <v>1960</v>
      </c>
      <c r="G567" s="18">
        <v>362.36</v>
      </c>
      <c r="H567" s="18">
        <v>2661.92</v>
      </c>
      <c r="I567" s="18">
        <v>3621.22</v>
      </c>
      <c r="J567" s="18"/>
      <c r="K567" s="18"/>
      <c r="L567" s="88">
        <f>SUM(F567:K567)</f>
        <v>8605.5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>
        <v>7510.49</v>
      </c>
      <c r="G568" s="18">
        <v>1127.8900000000001</v>
      </c>
      <c r="H568" s="18">
        <v>24124.86</v>
      </c>
      <c r="I568" s="18">
        <v>6273.25</v>
      </c>
      <c r="J568" s="18"/>
      <c r="K568" s="18"/>
      <c r="L568" s="88">
        <f>SUM(F568:K568)</f>
        <v>39036.49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17205.489999999998</v>
      </c>
      <c r="G569" s="194">
        <f t="shared" ref="G569:L569" si="45">SUM(G566:G568)</f>
        <v>2522.2799999999997</v>
      </c>
      <c r="H569" s="194">
        <f t="shared" si="45"/>
        <v>35708.78</v>
      </c>
      <c r="I569" s="194">
        <f t="shared" si="45"/>
        <v>21693.14</v>
      </c>
      <c r="J569" s="194">
        <f t="shared" si="45"/>
        <v>0</v>
      </c>
      <c r="K569" s="194">
        <f t="shared" si="45"/>
        <v>0</v>
      </c>
      <c r="L569" s="194">
        <f t="shared" si="45"/>
        <v>77129.69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1177503.07</v>
      </c>
      <c r="G570" s="89">
        <f t="shared" ref="G570:L570" si="46">G559+G564+G569</f>
        <v>238902.7</v>
      </c>
      <c r="H570" s="89">
        <f t="shared" si="46"/>
        <v>250182.5</v>
      </c>
      <c r="I570" s="89">
        <f t="shared" si="46"/>
        <v>54939.96</v>
      </c>
      <c r="J570" s="89">
        <f t="shared" si="46"/>
        <v>0</v>
      </c>
      <c r="K570" s="89">
        <f t="shared" si="46"/>
        <v>3543.54</v>
      </c>
      <c r="L570" s="89">
        <f t="shared" si="46"/>
        <v>1725071.7700000003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>
        <v>5691.18</v>
      </c>
      <c r="H581" s="18"/>
      <c r="I581" s="87">
        <f t="shared" si="47"/>
        <v>5691.18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158184.34</v>
      </c>
      <c r="G582" s="18">
        <v>323005.11</v>
      </c>
      <c r="H582" s="18">
        <v>543972.6</v>
      </c>
      <c r="I582" s="87">
        <f t="shared" si="47"/>
        <v>1025162.0499999999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265254.67</v>
      </c>
      <c r="I590" s="18">
        <v>111929.54</v>
      </c>
      <c r="J590" s="18">
        <v>259024.91</v>
      </c>
      <c r="K590" s="104">
        <f t="shared" ref="K590:K596" si="48">SUM(H590:J590)</f>
        <v>636209.12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95516.92</v>
      </c>
      <c r="I591" s="18">
        <v>22436.48</v>
      </c>
      <c r="J591" s="18">
        <v>57597.47</v>
      </c>
      <c r="K591" s="104">
        <f t="shared" si="48"/>
        <v>175550.87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561.64</v>
      </c>
      <c r="I593" s="18">
        <v>6761.5</v>
      </c>
      <c r="J593" s="18">
        <v>60461.18</v>
      </c>
      <c r="K593" s="104">
        <f t="shared" si="48"/>
        <v>67784.320000000007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14067.76</v>
      </c>
      <c r="I594" s="18">
        <v>15105.6</v>
      </c>
      <c r="J594" s="18">
        <v>5658.36</v>
      </c>
      <c r="K594" s="104">
        <f t="shared" si="48"/>
        <v>34831.72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375400.99</v>
      </c>
      <c r="I597" s="108">
        <f>SUM(I590:I596)</f>
        <v>156233.12</v>
      </c>
      <c r="J597" s="108">
        <f>SUM(J590:J596)</f>
        <v>382741.92</v>
      </c>
      <c r="K597" s="108">
        <f>SUM(K590:K596)</f>
        <v>914376.03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>
        <v>18014.560000000001</v>
      </c>
      <c r="I602" s="18">
        <v>7973.28</v>
      </c>
      <c r="J602" s="18">
        <v>25681.98</v>
      </c>
      <c r="K602" s="104">
        <f>SUM(H602:J602)</f>
        <v>51669.82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72483.66</v>
      </c>
      <c r="I603" s="18">
        <v>24136.18</v>
      </c>
      <c r="J603" s="18">
        <v>85436.29</v>
      </c>
      <c r="K603" s="104">
        <f>SUM(H603:J603)</f>
        <v>182056.13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90498.22</v>
      </c>
      <c r="I604" s="108">
        <f>SUM(I601:I603)</f>
        <v>32109.46</v>
      </c>
      <c r="J604" s="108">
        <f>SUM(J601:J603)</f>
        <v>111118.26999999999</v>
      </c>
      <c r="K604" s="108">
        <f>SUM(K601:K603)</f>
        <v>233725.95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6708.75</v>
      </c>
      <c r="G610" s="18">
        <v>579.28</v>
      </c>
      <c r="H610" s="18"/>
      <c r="I610" s="18">
        <v>2657.93</v>
      </c>
      <c r="J610" s="18"/>
      <c r="K610" s="18"/>
      <c r="L610" s="88">
        <f>SUM(F610:K610)</f>
        <v>9945.9599999999991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2191.3200000000002</v>
      </c>
      <c r="G611" s="18">
        <v>408.68</v>
      </c>
      <c r="H611" s="18"/>
      <c r="I611" s="18"/>
      <c r="J611" s="18"/>
      <c r="K611" s="18"/>
      <c r="L611" s="88">
        <f>SUM(F611:K611)</f>
        <v>2600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7500</v>
      </c>
      <c r="G612" s="18">
        <v>1034.98</v>
      </c>
      <c r="H612" s="18"/>
      <c r="I612" s="18"/>
      <c r="J612" s="18"/>
      <c r="K612" s="18"/>
      <c r="L612" s="88">
        <f>SUM(F612:K612)</f>
        <v>8534.98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16400.07</v>
      </c>
      <c r="G613" s="108">
        <f t="shared" si="49"/>
        <v>2022.94</v>
      </c>
      <c r="H613" s="108">
        <f t="shared" si="49"/>
        <v>0</v>
      </c>
      <c r="I613" s="108">
        <f t="shared" si="49"/>
        <v>2657.93</v>
      </c>
      <c r="J613" s="108">
        <f t="shared" si="49"/>
        <v>0</v>
      </c>
      <c r="K613" s="108">
        <f t="shared" si="49"/>
        <v>0</v>
      </c>
      <c r="L613" s="89">
        <f t="shared" si="49"/>
        <v>21080.94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0</v>
      </c>
      <c r="H616" s="109">
        <f>SUM(F51)</f>
        <v>0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88010.44</v>
      </c>
      <c r="H617" s="109">
        <f>SUM(G51)</f>
        <v>88010.44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733335.94</v>
      </c>
      <c r="H618" s="109">
        <f>SUM(H51)</f>
        <v>733335.94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4661972.8699999992</v>
      </c>
      <c r="H620" s="109">
        <f>SUM(J51)</f>
        <v>4661972.87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0</v>
      </c>
      <c r="H621" s="109">
        <f>F475</f>
        <v>0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59975.39</v>
      </c>
      <c r="H622" s="109">
        <f>G475</f>
        <v>59975.390000000014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516714.41</v>
      </c>
      <c r="H623" s="109">
        <f>H475</f>
        <v>516714.41000000015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4661972.87</v>
      </c>
      <c r="H625" s="109">
        <f>J475</f>
        <v>4661972.87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37205022.210000001</v>
      </c>
      <c r="H626" s="104">
        <f>SUM(F467)</f>
        <v>37205022.210000001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834574.13</v>
      </c>
      <c r="H627" s="104">
        <f>SUM(G467)</f>
        <v>834574.13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4617312.58</v>
      </c>
      <c r="H628" s="104">
        <f>SUM(H467)</f>
        <v>4617312.58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126943.77</v>
      </c>
      <c r="H630" s="104">
        <f>SUM(J467)</f>
        <v>126943.77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37205022.210000001</v>
      </c>
      <c r="H631" s="104">
        <f>SUM(F471)</f>
        <v>37205022.210000001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4540911.97</v>
      </c>
      <c r="H632" s="104">
        <f>SUM(H471)</f>
        <v>4540911.97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391043.56</v>
      </c>
      <c r="H633" s="104">
        <f>I368</f>
        <v>391043.56000000006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834904.02</v>
      </c>
      <c r="H634" s="104">
        <f>SUM(G471)</f>
        <v>834904.02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126943.77</v>
      </c>
      <c r="H636" s="164">
        <f>SUM(J467)</f>
        <v>126943.77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98226.59</v>
      </c>
      <c r="H637" s="164">
        <f>SUM(J471)</f>
        <v>98226.59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4661972.8699999992</v>
      </c>
      <c r="H640" s="104">
        <f>SUM(H460)</f>
        <v>4661972.87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4661972.8699999992</v>
      </c>
      <c r="H641" s="104">
        <f>SUM(I460)</f>
        <v>4661972.87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124693.77</v>
      </c>
      <c r="H643" s="104">
        <f>H407</f>
        <v>124693.77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126943.77</v>
      </c>
      <c r="H645" s="104">
        <f>L407</f>
        <v>126943.77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914376.03</v>
      </c>
      <c r="H646" s="104">
        <f>L207+L225+L243</f>
        <v>914376.03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233725.95</v>
      </c>
      <c r="H647" s="104">
        <f>(J256+J337)-(J254+J335)</f>
        <v>233725.95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375400.99</v>
      </c>
      <c r="H648" s="104">
        <f>H597</f>
        <v>375400.99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156233.12</v>
      </c>
      <c r="H649" s="104">
        <f>I597</f>
        <v>156233.12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382741.92</v>
      </c>
      <c r="H650" s="104">
        <f>J597</f>
        <v>382741.92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1168.6600000000001</v>
      </c>
      <c r="H651" s="104">
        <f>K262+K344</f>
        <v>1168.6600000000001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735141.98</v>
      </c>
      <c r="H652" s="104">
        <f>K263</f>
        <v>735141.98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16303620.470000003</v>
      </c>
      <c r="G659" s="19">
        <f>(L228+L308+L358)</f>
        <v>8040912.5800000001</v>
      </c>
      <c r="H659" s="19">
        <f>(L246+L327+L359)</f>
        <v>17444968.969999999</v>
      </c>
      <c r="I659" s="19">
        <f>SUM(F659:H659)</f>
        <v>41789502.020000003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187884.52980879787</v>
      </c>
      <c r="G660" s="19">
        <f>(L358/IF(SUM(L357:L359)=0,1,SUM(L357:L359))*(SUM(G96:G109)))</f>
        <v>100369.93532929773</v>
      </c>
      <c r="H660" s="19">
        <f>(L359/IF(SUM(L357:L359)=0,1,SUM(L357:L359))*(SUM(G96:G109)))</f>
        <v>177751.94486190434</v>
      </c>
      <c r="I660" s="19">
        <f>SUM(F660:H660)</f>
        <v>466006.40999999992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393430.5</v>
      </c>
      <c r="G661" s="19">
        <f>(L225+L305)-(J225+J305)</f>
        <v>161133.53</v>
      </c>
      <c r="H661" s="19">
        <f>(L243+L324)-(J243+J324)</f>
        <v>395097.24</v>
      </c>
      <c r="I661" s="19">
        <f>SUM(F661:H661)</f>
        <v>949661.27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258628.52</v>
      </c>
      <c r="G662" s="200">
        <f>SUM(G574:G586)+SUM(I601:I603)+L611</f>
        <v>363405.75</v>
      </c>
      <c r="H662" s="200">
        <f>SUM(H574:H586)+SUM(J601:J603)+L612</f>
        <v>663625.85</v>
      </c>
      <c r="I662" s="19">
        <f>SUM(F662:H662)</f>
        <v>1285660.1200000001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15463676.920191204</v>
      </c>
      <c r="G663" s="19">
        <f>G659-SUM(G660:G662)</f>
        <v>7416003.3646707023</v>
      </c>
      <c r="H663" s="19">
        <f>H659-SUM(H660:H662)</f>
        <v>16208493.935138095</v>
      </c>
      <c r="I663" s="19">
        <f>I659-SUM(I660:I662)</f>
        <v>39088174.220000006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1111.69</v>
      </c>
      <c r="G664" s="249">
        <v>469.1</v>
      </c>
      <c r="H664" s="249">
        <v>1085.57</v>
      </c>
      <c r="I664" s="19">
        <f>SUM(F664:H664)</f>
        <v>2666.3599999999997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13910.06</v>
      </c>
      <c r="G666" s="19">
        <f>ROUND(G663/G664,2)</f>
        <v>15809</v>
      </c>
      <c r="H666" s="19">
        <f>ROUND(H663/H664,2)</f>
        <v>14930.86</v>
      </c>
      <c r="I666" s="19">
        <f>ROUND(I663/I664,2)</f>
        <v>14659.75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13910.06</v>
      </c>
      <c r="G671" s="19">
        <f>ROUND((G663+G668)/(G664+G669),2)</f>
        <v>15809</v>
      </c>
      <c r="H671" s="19">
        <f>ROUND((H663+H668)/(H664+H669),2)</f>
        <v>14930.86</v>
      </c>
      <c r="I671" s="19">
        <f>ROUND((I663+I668)/(I664+I669),2)</f>
        <v>14659.75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0" workbookViewId="0">
      <selection activeCell="C39" sqref="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Portsmouth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11308473.789999997</v>
      </c>
      <c r="C9" s="230">
        <f>'DOE25'!G196+'DOE25'!G214+'DOE25'!G232+'DOE25'!G275+'DOE25'!G294+'DOE25'!G313</f>
        <v>5742689.0199999986</v>
      </c>
    </row>
    <row r="10" spans="1:3" x14ac:dyDescent="0.2">
      <c r="A10" t="s">
        <v>779</v>
      </c>
      <c r="B10" s="241">
        <v>10515298.77</v>
      </c>
      <c r="C10" s="241">
        <v>5339897.49</v>
      </c>
    </row>
    <row r="11" spans="1:3" x14ac:dyDescent="0.2">
      <c r="A11" t="s">
        <v>780</v>
      </c>
      <c r="B11" s="241">
        <v>462772.72</v>
      </c>
      <c r="C11" s="241">
        <v>235006.05</v>
      </c>
    </row>
    <row r="12" spans="1:3" x14ac:dyDescent="0.2">
      <c r="A12" t="s">
        <v>781</v>
      </c>
      <c r="B12" s="241">
        <v>330402.3</v>
      </c>
      <c r="C12" s="241">
        <v>167785.48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11308473.790000001</v>
      </c>
      <c r="C13" s="232">
        <f>SUM(C10:C12)</f>
        <v>5742689.0200000005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4729232.6500000004</v>
      </c>
      <c r="C18" s="230">
        <f>'DOE25'!G197+'DOE25'!G215+'DOE25'!G233+'DOE25'!G276+'DOE25'!G295+'DOE25'!G314</f>
        <v>1591192.0500000003</v>
      </c>
    </row>
    <row r="19" spans="1:3" x14ac:dyDescent="0.2">
      <c r="A19" t="s">
        <v>779</v>
      </c>
      <c r="B19" s="241">
        <v>3145345.16</v>
      </c>
      <c r="C19" s="241">
        <v>1058279.1200000001</v>
      </c>
    </row>
    <row r="20" spans="1:3" x14ac:dyDescent="0.2">
      <c r="A20" t="s">
        <v>780</v>
      </c>
      <c r="B20" s="241">
        <v>1502408.43</v>
      </c>
      <c r="C20" s="241">
        <v>505498.58</v>
      </c>
    </row>
    <row r="21" spans="1:3" x14ac:dyDescent="0.2">
      <c r="A21" t="s">
        <v>781</v>
      </c>
      <c r="B21" s="241">
        <v>81479.06</v>
      </c>
      <c r="C21" s="241">
        <v>27414.35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4729232.6499999994</v>
      </c>
      <c r="C22" s="232">
        <f>SUM(C19:C21)</f>
        <v>1591192.0500000003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697460.8</v>
      </c>
      <c r="C27" s="235">
        <f>'DOE25'!G198+'DOE25'!G216+'DOE25'!G234+'DOE25'!G277+'DOE25'!G296+'DOE25'!G315</f>
        <v>322782.53000000003</v>
      </c>
    </row>
    <row r="28" spans="1:3" x14ac:dyDescent="0.2">
      <c r="A28" t="s">
        <v>779</v>
      </c>
      <c r="B28" s="241">
        <v>660224.98</v>
      </c>
      <c r="C28" s="241">
        <v>305549.92</v>
      </c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>
        <v>37235.82</v>
      </c>
      <c r="C30" s="241">
        <v>17232.61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697460.79999999993</v>
      </c>
      <c r="C31" s="232">
        <f>SUM(C28:C30)</f>
        <v>322782.52999999997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367144.44</v>
      </c>
      <c r="C36" s="236">
        <f>'DOE25'!G199+'DOE25'!G217+'DOE25'!G235+'DOE25'!G278+'DOE25'!G297+'DOE25'!G316</f>
        <v>163790.58000000002</v>
      </c>
    </row>
    <row r="37" spans="1:3" x14ac:dyDescent="0.2">
      <c r="A37" t="s">
        <v>779</v>
      </c>
      <c r="B37" s="241">
        <v>17600</v>
      </c>
      <c r="C37" s="241">
        <v>7851.72</v>
      </c>
    </row>
    <row r="38" spans="1:3" x14ac:dyDescent="0.2">
      <c r="A38" t="s">
        <v>780</v>
      </c>
      <c r="B38" s="241">
        <v>2504</v>
      </c>
      <c r="C38" s="241">
        <v>1117.08</v>
      </c>
    </row>
    <row r="39" spans="1:3" x14ac:dyDescent="0.2">
      <c r="A39" t="s">
        <v>781</v>
      </c>
      <c r="B39" s="241">
        <v>347040.44</v>
      </c>
      <c r="C39" s="241">
        <v>154821.78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367144.44</v>
      </c>
      <c r="C40" s="232">
        <f>SUM(C37:C39)</f>
        <v>163790.57999999999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Portsmouth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23382057.149999999</v>
      </c>
      <c r="D5" s="20">
        <f>SUM('DOE25'!L196:L199)+SUM('DOE25'!L214:L217)+SUM('DOE25'!L232:L235)-F5-G5</f>
        <v>23339185.199999999</v>
      </c>
      <c r="E5" s="244"/>
      <c r="F5" s="256">
        <f>SUM('DOE25'!J196:J199)+SUM('DOE25'!J214:J217)+SUM('DOE25'!J232:J235)</f>
        <v>41556.949999999997</v>
      </c>
      <c r="G5" s="53">
        <f>SUM('DOE25'!K196:K199)+SUM('DOE25'!K214:K217)+SUM('DOE25'!K232:K235)</f>
        <v>1315</v>
      </c>
      <c r="H5" s="260"/>
    </row>
    <row r="6" spans="1:9" x14ac:dyDescent="0.2">
      <c r="A6" s="32">
        <v>2100</v>
      </c>
      <c r="B6" t="s">
        <v>801</v>
      </c>
      <c r="C6" s="246">
        <f t="shared" si="0"/>
        <v>3989010.27</v>
      </c>
      <c r="D6" s="20">
        <f>'DOE25'!L201+'DOE25'!L219+'DOE25'!L237-F6-G6</f>
        <v>3971328.75</v>
      </c>
      <c r="E6" s="244"/>
      <c r="F6" s="256">
        <f>'DOE25'!J201+'DOE25'!J219+'DOE25'!J237</f>
        <v>1874.4</v>
      </c>
      <c r="G6" s="53">
        <f>'DOE25'!K201+'DOE25'!K219+'DOE25'!K237</f>
        <v>15807.12</v>
      </c>
      <c r="H6" s="260"/>
    </row>
    <row r="7" spans="1:9" x14ac:dyDescent="0.2">
      <c r="A7" s="32">
        <v>2200</v>
      </c>
      <c r="B7" t="s">
        <v>834</v>
      </c>
      <c r="C7" s="246">
        <f t="shared" si="0"/>
        <v>657171.04</v>
      </c>
      <c r="D7" s="20">
        <f>'DOE25'!L202+'DOE25'!L220+'DOE25'!L238-F7-G7</f>
        <v>571601.98</v>
      </c>
      <c r="E7" s="244"/>
      <c r="F7" s="256">
        <f>'DOE25'!J202+'DOE25'!J220+'DOE25'!J238</f>
        <v>85569.06</v>
      </c>
      <c r="G7" s="53">
        <f>'DOE25'!K202+'DOE25'!K220+'DOE25'!K238</f>
        <v>0</v>
      </c>
      <c r="H7" s="260"/>
    </row>
    <row r="8" spans="1:9" x14ac:dyDescent="0.2">
      <c r="A8" s="32">
        <v>2300</v>
      </c>
      <c r="B8" t="s">
        <v>802</v>
      </c>
      <c r="C8" s="246">
        <f t="shared" si="0"/>
        <v>668798.79999999981</v>
      </c>
      <c r="D8" s="244"/>
      <c r="E8" s="20">
        <f>'DOE25'!L203+'DOE25'!L221+'DOE25'!L239-F8-G8-D9-D11</f>
        <v>633221.26999999979</v>
      </c>
      <c r="F8" s="256">
        <f>'DOE25'!J203+'DOE25'!J221+'DOE25'!J239</f>
        <v>0</v>
      </c>
      <c r="G8" s="53">
        <f>'DOE25'!K203+'DOE25'!K221+'DOE25'!K239</f>
        <v>35577.53</v>
      </c>
      <c r="H8" s="260"/>
    </row>
    <row r="9" spans="1:9" x14ac:dyDescent="0.2">
      <c r="A9" s="32">
        <v>2310</v>
      </c>
      <c r="B9" t="s">
        <v>818</v>
      </c>
      <c r="C9" s="246">
        <f t="shared" si="0"/>
        <v>29294.11</v>
      </c>
      <c r="D9" s="245">
        <v>29294.11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0</v>
      </c>
      <c r="D10" s="244"/>
      <c r="E10" s="245">
        <v>0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450511.97</v>
      </c>
      <c r="D11" s="245">
        <v>450511.97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1822096.4299999997</v>
      </c>
      <c r="D12" s="20">
        <f>'DOE25'!L204+'DOE25'!L222+'DOE25'!L240-F12-G12</f>
        <v>1817116.4299999997</v>
      </c>
      <c r="E12" s="244"/>
      <c r="F12" s="256">
        <f>'DOE25'!J204+'DOE25'!J222+'DOE25'!J240</f>
        <v>0</v>
      </c>
      <c r="G12" s="53">
        <f>'DOE25'!K204+'DOE25'!K222+'DOE25'!K240</f>
        <v>4980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514264.78999999992</v>
      </c>
      <c r="D13" s="244"/>
      <c r="E13" s="20">
        <f>'DOE25'!L205+'DOE25'!L223+'DOE25'!L241-F13-G13</f>
        <v>513105.53999999992</v>
      </c>
      <c r="F13" s="256">
        <f>'DOE25'!J205+'DOE25'!J223+'DOE25'!J241</f>
        <v>0</v>
      </c>
      <c r="G13" s="53">
        <f>'DOE25'!K205+'DOE25'!K223+'DOE25'!K241</f>
        <v>1159.25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3310489.2700000005</v>
      </c>
      <c r="D14" s="20">
        <f>'DOE25'!L206+'DOE25'!L224+'DOE25'!L242-F14-G14</f>
        <v>3251298.4500000007</v>
      </c>
      <c r="E14" s="244"/>
      <c r="F14" s="256">
        <f>'DOE25'!J206+'DOE25'!J224+'DOE25'!J242</f>
        <v>51669.82</v>
      </c>
      <c r="G14" s="53">
        <f>'DOE25'!K206+'DOE25'!K224+'DOE25'!K242</f>
        <v>7521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914376.03</v>
      </c>
      <c r="D15" s="20">
        <f>'DOE25'!L207+'DOE25'!L225+'DOE25'!L243-F15-G15</f>
        <v>914376.03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701387.82</v>
      </c>
      <c r="D16" s="244"/>
      <c r="E16" s="20">
        <f>'DOE25'!L208+'DOE25'!L226+'DOE25'!L244-F16-G16</f>
        <v>676018.23</v>
      </c>
      <c r="F16" s="256">
        <f>'DOE25'!J208+'DOE25'!J226+'DOE25'!J244</f>
        <v>22527.460000000003</v>
      </c>
      <c r="G16" s="53">
        <f>'DOE25'!K208+'DOE25'!K226+'DOE25'!K244</f>
        <v>2842.13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29253.89</v>
      </c>
      <c r="D17" s="20">
        <f>'DOE25'!L250-F17-G17</f>
        <v>29253.89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474093.32999999996</v>
      </c>
      <c r="D29" s="20">
        <f>'DOE25'!L357+'DOE25'!L358+'DOE25'!L359-'DOE25'!I366-F29-G29</f>
        <v>474093.32999999996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4540911.97</v>
      </c>
      <c r="D31" s="20">
        <f>'DOE25'!L289+'DOE25'!L308+'DOE25'!L327+'DOE25'!L332+'DOE25'!L333+'DOE25'!L334-F31-G31</f>
        <v>4502278.5199999996</v>
      </c>
      <c r="E31" s="244"/>
      <c r="F31" s="256">
        <f>'DOE25'!J289+'DOE25'!J308+'DOE25'!J327+'DOE25'!J332+'DOE25'!J333+'DOE25'!J334</f>
        <v>30528.26</v>
      </c>
      <c r="G31" s="53">
        <f>'DOE25'!K289+'DOE25'!K308+'DOE25'!K327+'DOE25'!K332+'DOE25'!K333+'DOE25'!K334</f>
        <v>8105.1900000000005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39350338.659999996</v>
      </c>
      <c r="E33" s="247">
        <f>SUM(E5:E31)</f>
        <v>1822345.0399999996</v>
      </c>
      <c r="F33" s="247">
        <f>SUM(F5:F31)</f>
        <v>233725.95</v>
      </c>
      <c r="G33" s="247">
        <f>SUM(G5:G31)</f>
        <v>77307.22</v>
      </c>
      <c r="H33" s="247">
        <f>SUM(H5:H31)</f>
        <v>0</v>
      </c>
    </row>
    <row r="35" spans="2:8" ht="12" thickBot="1" x14ac:dyDescent="0.25">
      <c r="B35" s="254" t="s">
        <v>847</v>
      </c>
      <c r="D35" s="255">
        <f>E33</f>
        <v>1822345.0399999996</v>
      </c>
      <c r="E35" s="250"/>
    </row>
    <row r="36" spans="2:8" ht="12" thickTop="1" x14ac:dyDescent="0.2">
      <c r="B36" t="s">
        <v>815</v>
      </c>
      <c r="D36" s="20">
        <f>D33</f>
        <v>39350338.659999996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N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Portsmouth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0</v>
      </c>
      <c r="D8" s="95">
        <f>'DOE25'!G9</f>
        <v>54198.18</v>
      </c>
      <c r="E8" s="95">
        <f>'DOE25'!H9</f>
        <v>0</v>
      </c>
      <c r="F8" s="95">
        <f>'DOE25'!I9</f>
        <v>0</v>
      </c>
      <c r="G8" s="95">
        <f>'DOE25'!J9</f>
        <v>33418.31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1168.6600000000001</v>
      </c>
      <c r="E11" s="95">
        <f>'DOE25'!H12</f>
        <v>0</v>
      </c>
      <c r="F11" s="95">
        <f>'DOE25'!I12</f>
        <v>0</v>
      </c>
      <c r="G11" s="95">
        <f>'DOE25'!J12</f>
        <v>4628554.5599999996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14973.93</v>
      </c>
      <c r="E12" s="95">
        <f>'DOE25'!H13</f>
        <v>713011.34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636.51</v>
      </c>
      <c r="E13" s="95">
        <f>'DOE25'!H14</f>
        <v>20324.599999999999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17033.16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0</v>
      </c>
      <c r="D18" s="41">
        <f>SUM(D8:D17)</f>
        <v>88010.44</v>
      </c>
      <c r="E18" s="41">
        <f>SUM(E8:E17)</f>
        <v>733335.94</v>
      </c>
      <c r="F18" s="41">
        <f>SUM(F8:F17)</f>
        <v>0</v>
      </c>
      <c r="G18" s="41">
        <f>SUM(G8:G17)</f>
        <v>4661972.8699999992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203075.64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206.85</v>
      </c>
      <c r="E23" s="95">
        <f>'DOE25'!H24</f>
        <v>13419.85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27828.2</v>
      </c>
      <c r="E29" s="95">
        <f>'DOE25'!H30</f>
        <v>126.04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28035.05</v>
      </c>
      <c r="E31" s="41">
        <f>SUM(E21:E30)</f>
        <v>216621.53000000003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4661972.87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59975.39</v>
      </c>
      <c r="E46" s="95">
        <f>'DOE25'!H47</f>
        <v>516714.41</v>
      </c>
      <c r="F46" s="95">
        <f>'DOE25'!I47</f>
        <v>0</v>
      </c>
      <c r="G46" s="95">
        <f>'DOE25'!J47</f>
        <v>0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0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0</v>
      </c>
      <c r="D49" s="41">
        <f>SUM(D34:D48)</f>
        <v>59975.39</v>
      </c>
      <c r="E49" s="41">
        <f>SUM(E34:E48)</f>
        <v>516714.41</v>
      </c>
      <c r="F49" s="41">
        <f>SUM(F34:F48)</f>
        <v>0</v>
      </c>
      <c r="G49" s="41">
        <f>SUM(G34:G48)</f>
        <v>4661972.87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0</v>
      </c>
      <c r="D50" s="41">
        <f>D49+D31</f>
        <v>88010.44</v>
      </c>
      <c r="E50" s="41">
        <f>E49+E31</f>
        <v>733335.94</v>
      </c>
      <c r="F50" s="41">
        <f>F49+F31</f>
        <v>0</v>
      </c>
      <c r="G50" s="41">
        <f>G49+G31</f>
        <v>4661972.87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20917818.18</v>
      </c>
      <c r="D55" s="95">
        <f>'DOE25'!G59</f>
        <v>0</v>
      </c>
      <c r="E55" s="95">
        <f>'DOE25'!H59</f>
        <v>226395.83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5341836.33</v>
      </c>
      <c r="D56" s="24" t="s">
        <v>289</v>
      </c>
      <c r="E56" s="95">
        <f>'DOE25'!H78</f>
        <v>773352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0</v>
      </c>
      <c r="D58" s="95">
        <f>'DOE25'!G95</f>
        <v>76.59</v>
      </c>
      <c r="E58" s="95">
        <f>'DOE25'!H95</f>
        <v>0</v>
      </c>
      <c r="F58" s="95">
        <f>'DOE25'!I95</f>
        <v>0</v>
      </c>
      <c r="G58" s="95">
        <f>'DOE25'!J95</f>
        <v>124693.77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466006.41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55370.320000000007</v>
      </c>
      <c r="D60" s="95">
        <f>SUM('DOE25'!G97:G109)</f>
        <v>0</v>
      </c>
      <c r="E60" s="95">
        <f>SUM('DOE25'!H97:H109)</f>
        <v>284559.46999999997</v>
      </c>
      <c r="F60" s="95">
        <f>SUM('DOE25'!I97:I109)</f>
        <v>0</v>
      </c>
      <c r="G60" s="95">
        <f>SUM('DOE25'!J97:J109)</f>
        <v>2250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5397206.6500000004</v>
      </c>
      <c r="D61" s="130">
        <f>SUM(D56:D60)</f>
        <v>466083</v>
      </c>
      <c r="E61" s="130">
        <f>SUM(E56:E60)</f>
        <v>1057911.47</v>
      </c>
      <c r="F61" s="130">
        <f>SUM(F56:F60)</f>
        <v>0</v>
      </c>
      <c r="G61" s="130">
        <f>SUM(G56:G60)</f>
        <v>126943.77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26315024.829999998</v>
      </c>
      <c r="D62" s="22">
        <f>D55+D61</f>
        <v>466083</v>
      </c>
      <c r="E62" s="22">
        <f>E55+E61</f>
        <v>1284307.3</v>
      </c>
      <c r="F62" s="22">
        <f>F55+F61</f>
        <v>0</v>
      </c>
      <c r="G62" s="22">
        <f>G55+G61</f>
        <v>126943.77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9344223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0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9344223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1319095.73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226395.83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8267.02</v>
      </c>
      <c r="E76" s="95">
        <f>SUM('DOE25'!H130:H134)</f>
        <v>6900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1545491.56</v>
      </c>
      <c r="D77" s="130">
        <f>SUM(D71:D76)</f>
        <v>8267.02</v>
      </c>
      <c r="E77" s="130">
        <f>SUM(E71:E76)</f>
        <v>6900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10889714.560000001</v>
      </c>
      <c r="D80" s="130">
        <f>SUM(D78:D79)+D77+D69</f>
        <v>8267.02</v>
      </c>
      <c r="E80" s="130">
        <f>SUM(E78:E79)+E77+E69</f>
        <v>6900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14076.05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0</v>
      </c>
      <c r="D87" s="95">
        <f>SUM('DOE25'!G152:G160)</f>
        <v>359055.45</v>
      </c>
      <c r="E87" s="95">
        <f>SUM('DOE25'!H152:H160)</f>
        <v>2576887.25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282.82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282.82</v>
      </c>
      <c r="D90" s="131">
        <f>SUM(D84:D89)</f>
        <v>359055.45</v>
      </c>
      <c r="E90" s="131">
        <f>SUM(E84:E89)</f>
        <v>2590963.2999999998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1168.6600000000001</v>
      </c>
      <c r="E95" s="95">
        <f>'DOE25'!H178</f>
        <v>735141.98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1168.6600000000001</v>
      </c>
      <c r="E102" s="86">
        <f>SUM(E92:E101)</f>
        <v>735141.98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37205022.210000001</v>
      </c>
      <c r="D103" s="86">
        <f>D62+D80+D90+D102</f>
        <v>834574.13</v>
      </c>
      <c r="E103" s="86">
        <f>E62+E80+E90+E102</f>
        <v>4617312.58</v>
      </c>
      <c r="F103" s="86">
        <f>F62+F80+F90+F102</f>
        <v>0</v>
      </c>
      <c r="G103" s="86">
        <f>G62+G80+G102</f>
        <v>126943.77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17122754.75</v>
      </c>
      <c r="D108" s="24" t="s">
        <v>289</v>
      </c>
      <c r="E108" s="95">
        <f>('DOE25'!L275)+('DOE25'!L294)+('DOE25'!L313)</f>
        <v>381837.51000000007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4639430.92</v>
      </c>
      <c r="D109" s="24" t="s">
        <v>289</v>
      </c>
      <c r="E109" s="95">
        <f>('DOE25'!L276)+('DOE25'!L295)+('DOE25'!L314)</f>
        <v>2994007.8499999996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961878.42999999993</v>
      </c>
      <c r="D110" s="24" t="s">
        <v>289</v>
      </c>
      <c r="E110" s="95">
        <f>('DOE25'!L277)+('DOE25'!L296)+('DOE25'!L315)</f>
        <v>115727.20000000001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657993.04999999993</v>
      </c>
      <c r="D111" s="24" t="s">
        <v>289</v>
      </c>
      <c r="E111" s="95">
        <f>+('DOE25'!L278)+('DOE25'!L297)+('DOE25'!L316)</f>
        <v>84146.39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29253.89</v>
      </c>
      <c r="D113" s="24" t="s">
        <v>289</v>
      </c>
      <c r="E113" s="95">
        <f>+ SUM('DOE25'!L332:L334)</f>
        <v>25771.65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23411311.040000003</v>
      </c>
      <c r="D114" s="86">
        <f>SUM(D108:D113)</f>
        <v>0</v>
      </c>
      <c r="E114" s="86">
        <f>SUM(E108:E113)</f>
        <v>3601490.6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3989010.27</v>
      </c>
      <c r="D117" s="24" t="s">
        <v>289</v>
      </c>
      <c r="E117" s="95">
        <f>+('DOE25'!L280)+('DOE25'!L299)+('DOE25'!L318)</f>
        <v>437437.77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657171.04</v>
      </c>
      <c r="D118" s="24" t="s">
        <v>289</v>
      </c>
      <c r="E118" s="95">
        <f>+('DOE25'!L281)+('DOE25'!L300)+('DOE25'!L319)</f>
        <v>106334.75999999998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1148604.8799999999</v>
      </c>
      <c r="D119" s="24" t="s">
        <v>289</v>
      </c>
      <c r="E119" s="95">
        <f>+('DOE25'!L282)+('DOE25'!L301)+('DOE25'!L320)</f>
        <v>206856.33000000002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1822096.4299999997</v>
      </c>
      <c r="D120" s="24" t="s">
        <v>289</v>
      </c>
      <c r="E120" s="95">
        <f>+('DOE25'!L283)+('DOE25'!L302)+('DOE25'!L321)</f>
        <v>101574.3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514264.78999999992</v>
      </c>
      <c r="D121" s="24" t="s">
        <v>289</v>
      </c>
      <c r="E121" s="95">
        <f>+('DOE25'!L284)+('DOE25'!L303)+('DOE25'!L322)</f>
        <v>1140.0899999999999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3310489.2700000005</v>
      </c>
      <c r="D122" s="24" t="s">
        <v>289</v>
      </c>
      <c r="E122" s="95">
        <f>+('DOE25'!L285)+('DOE25'!L304)+('DOE25'!L323)</f>
        <v>50792.880000000005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914376.03</v>
      </c>
      <c r="D123" s="24" t="s">
        <v>289</v>
      </c>
      <c r="E123" s="95">
        <f>+('DOE25'!L286)+('DOE25'!L305)+('DOE25'!L324)</f>
        <v>35285.24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701387.82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834904.02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13057400.529999999</v>
      </c>
      <c r="D127" s="86">
        <f>SUM(D117:D126)</f>
        <v>834904.02</v>
      </c>
      <c r="E127" s="86">
        <f>SUM(E117:E126)</f>
        <v>939421.37000000011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13651.59</v>
      </c>
    </row>
    <row r="134" spans="1:7" x14ac:dyDescent="0.2">
      <c r="A134" t="s">
        <v>233</v>
      </c>
      <c r="B134" s="32" t="s">
        <v>234</v>
      </c>
      <c r="C134" s="95">
        <f>'DOE25'!L262</f>
        <v>1168.6600000000001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735141.98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126943.77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-126943.77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736310.64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13651.59</v>
      </c>
    </row>
    <row r="144" spans="1:7" ht="12.75" thickTop="1" thickBot="1" x14ac:dyDescent="0.25">
      <c r="A144" s="33" t="s">
        <v>244</v>
      </c>
      <c r="C144" s="86">
        <f>(C114+C127+C143)</f>
        <v>37205022.210000001</v>
      </c>
      <c r="D144" s="86">
        <f>(D114+D127+D143)</f>
        <v>834904.02</v>
      </c>
      <c r="E144" s="86">
        <f>(E114+E127+E143)</f>
        <v>4540911.9700000007</v>
      </c>
      <c r="F144" s="86">
        <f>(F114+F127+F143)</f>
        <v>0</v>
      </c>
      <c r="G144" s="86">
        <f>(G114+G127+G143)</f>
        <v>13651.59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Portsmouth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13910</v>
      </c>
    </row>
    <row r="5" spans="1:4" x14ac:dyDescent="0.2">
      <c r="B5" t="s">
        <v>704</v>
      </c>
      <c r="C5" s="179">
        <f>IF('DOE25'!G664+'DOE25'!G669=0,0,ROUND('DOE25'!G671,0))</f>
        <v>15809</v>
      </c>
    </row>
    <row r="6" spans="1:4" x14ac:dyDescent="0.2">
      <c r="B6" t="s">
        <v>62</v>
      </c>
      <c r="C6" s="179">
        <f>IF('DOE25'!H664+'DOE25'!H669=0,0,ROUND('DOE25'!H671,0))</f>
        <v>14931</v>
      </c>
    </row>
    <row r="7" spans="1:4" x14ac:dyDescent="0.2">
      <c r="B7" t="s">
        <v>705</v>
      </c>
      <c r="C7" s="179">
        <f>IF('DOE25'!I664+'DOE25'!I669=0,0,ROUND('DOE25'!I671,0))</f>
        <v>14660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17504592</v>
      </c>
      <c r="D10" s="182">
        <f>ROUND((C10/$C$28)*100,1)</f>
        <v>42.3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7633439</v>
      </c>
      <c r="D11" s="182">
        <f>ROUND((C11/$C$28)*100,1)</f>
        <v>18.399999999999999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1077606</v>
      </c>
      <c r="D12" s="182">
        <f>ROUND((C12/$C$28)*100,1)</f>
        <v>2.6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742139</v>
      </c>
      <c r="D13" s="182">
        <f>ROUND((C13/$C$28)*100,1)</f>
        <v>1.8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4426448</v>
      </c>
      <c r="D15" s="182">
        <f t="shared" ref="D15:D27" si="0">ROUND((C15/$C$28)*100,1)</f>
        <v>10.7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763506</v>
      </c>
      <c r="D16" s="182">
        <f t="shared" si="0"/>
        <v>1.8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2056849</v>
      </c>
      <c r="D17" s="182">
        <f t="shared" si="0"/>
        <v>5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1923671</v>
      </c>
      <c r="D18" s="182">
        <f t="shared" si="0"/>
        <v>4.5999999999999996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515405</v>
      </c>
      <c r="D19" s="182">
        <f t="shared" si="0"/>
        <v>1.2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3361282</v>
      </c>
      <c r="D20" s="182">
        <f t="shared" si="0"/>
        <v>8.1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949661</v>
      </c>
      <c r="D21" s="182">
        <f t="shared" si="0"/>
        <v>2.2999999999999998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55026</v>
      </c>
      <c r="D24" s="182">
        <f t="shared" si="0"/>
        <v>0.1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368897.59</v>
      </c>
      <c r="D27" s="182">
        <f t="shared" si="0"/>
        <v>0.9</v>
      </c>
    </row>
    <row r="28" spans="1:4" x14ac:dyDescent="0.2">
      <c r="B28" s="187" t="s">
        <v>723</v>
      </c>
      <c r="C28" s="180">
        <f>SUM(C10:C27)</f>
        <v>41378521.590000004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41378521.590000004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21144214</v>
      </c>
      <c r="D35" s="182">
        <f t="shared" ref="D35:D40" si="1">ROUND((C35/$C$41)*100,1)</f>
        <v>50.9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6582138.4899999984</v>
      </c>
      <c r="D36" s="182">
        <f t="shared" si="1"/>
        <v>15.8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9344223</v>
      </c>
      <c r="D37" s="182">
        <f t="shared" si="1"/>
        <v>22.5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1560659</v>
      </c>
      <c r="D38" s="182">
        <f t="shared" si="1"/>
        <v>3.8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2950302</v>
      </c>
      <c r="D39" s="182">
        <f t="shared" si="1"/>
        <v>7.1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41581536.489999995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4" t="s">
        <v>770</v>
      </c>
      <c r="B1" s="285"/>
      <c r="C1" s="285"/>
      <c r="D1" s="285"/>
      <c r="E1" s="285"/>
      <c r="F1" s="285"/>
      <c r="G1" s="285"/>
      <c r="H1" s="285"/>
      <c r="I1" s="285"/>
      <c r="J1" s="214"/>
      <c r="K1" s="214"/>
      <c r="L1" s="214"/>
      <c r="M1" s="215"/>
    </row>
    <row r="2" spans="1:26" ht="12.75" x14ac:dyDescent="0.2">
      <c r="A2" s="292" t="s">
        <v>767</v>
      </c>
      <c r="B2" s="293"/>
      <c r="C2" s="293"/>
      <c r="D2" s="293"/>
      <c r="E2" s="293"/>
      <c r="F2" s="288" t="str">
        <f>'DOE25'!A2</f>
        <v>Portsmouth</v>
      </c>
      <c r="G2" s="289"/>
      <c r="H2" s="289"/>
      <c r="I2" s="289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6" t="s">
        <v>771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 x14ac:dyDescent="0.2">
      <c r="A4" s="219">
        <v>2</v>
      </c>
      <c r="B4" s="220">
        <v>17</v>
      </c>
      <c r="C4" s="280" t="s">
        <v>911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 x14ac:dyDescent="0.2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 x14ac:dyDescent="0.2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 x14ac:dyDescent="0.2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 x14ac:dyDescent="0.2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 x14ac:dyDescent="0.2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 x14ac:dyDescent="0.2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 x14ac:dyDescent="0.2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 x14ac:dyDescent="0.2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 x14ac:dyDescent="0.2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 x14ac:dyDescent="0.2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 x14ac:dyDescent="0.2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 x14ac:dyDescent="0.2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 x14ac:dyDescent="0.2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 x14ac:dyDescent="0.2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 x14ac:dyDescent="0.2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 x14ac:dyDescent="0.2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 x14ac:dyDescent="0.2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2012-11-01T13:22:29Z</cp:lastPrinted>
  <dcterms:created xsi:type="dcterms:W3CDTF">1997-12-04T19:04:30Z</dcterms:created>
  <dcterms:modified xsi:type="dcterms:W3CDTF">2012-11-21T15:23:02Z</dcterms:modified>
</cp:coreProperties>
</file>