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C20" i="10" s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F660" i="1" s="1"/>
  <c r="L359" i="1"/>
  <c r="I366" i="1"/>
  <c r="J289" i="1"/>
  <c r="J308" i="1"/>
  <c r="J327" i="1"/>
  <c r="K289" i="1"/>
  <c r="K308" i="1"/>
  <c r="K327" i="1"/>
  <c r="G31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E111" i="2" s="1"/>
  <c r="L318" i="1"/>
  <c r="E117" i="2" s="1"/>
  <c r="L319" i="1"/>
  <c r="L320" i="1"/>
  <c r="L327" i="1" s="1"/>
  <c r="L321" i="1"/>
  <c r="L322" i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9" i="10"/>
  <c r="C21" i="10"/>
  <c r="L249" i="1"/>
  <c r="L331" i="1"/>
  <c r="L253" i="1"/>
  <c r="C24" i="10" s="1"/>
  <c r="L267" i="1"/>
  <c r="C141" i="2" s="1"/>
  <c r="L268" i="1"/>
  <c r="L348" i="1"/>
  <c r="L349" i="1"/>
  <c r="I664" i="1"/>
  <c r="I669" i="1"/>
  <c r="L210" i="1"/>
  <c r="H660" i="1"/>
  <c r="F661" i="1"/>
  <c r="G661" i="1"/>
  <c r="H661" i="1"/>
  <c r="I661" i="1" s="1"/>
  <c r="I668" i="1"/>
  <c r="C4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C61" i="2" s="1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C110" i="2"/>
  <c r="E110" i="2"/>
  <c r="C112" i="2"/>
  <c r="E112" i="2"/>
  <c r="C113" i="2"/>
  <c r="E113" i="2"/>
  <c r="D114" i="2"/>
  <c r="F114" i="2"/>
  <c r="G114" i="2"/>
  <c r="C117" i="2"/>
  <c r="E118" i="2"/>
  <c r="E119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I337" i="1" s="1"/>
  <c r="I351" i="1" s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J634" i="1" s="1"/>
  <c r="H634" i="1"/>
  <c r="H635" i="1"/>
  <c r="H636" i="1"/>
  <c r="H637" i="1"/>
  <c r="G638" i="1"/>
  <c r="H638" i="1"/>
  <c r="G639" i="1"/>
  <c r="G640" i="1"/>
  <c r="H640" i="1"/>
  <c r="G642" i="1"/>
  <c r="H642" i="1"/>
  <c r="G643" i="1"/>
  <c r="H643" i="1"/>
  <c r="G644" i="1"/>
  <c r="H646" i="1"/>
  <c r="G648" i="1"/>
  <c r="G649" i="1"/>
  <c r="H649" i="1"/>
  <c r="G650" i="1"/>
  <c r="G651" i="1"/>
  <c r="H651" i="1"/>
  <c r="J651" i="1"/>
  <c r="G652" i="1"/>
  <c r="H652" i="1"/>
  <c r="J652" i="1" s="1"/>
  <c r="G653" i="1"/>
  <c r="H653" i="1"/>
  <c r="J653" i="1" s="1"/>
  <c r="H654" i="1"/>
  <c r="F191" i="1"/>
  <c r="L255" i="1"/>
  <c r="C18" i="2"/>
  <c r="F31" i="2"/>
  <c r="C26" i="10"/>
  <c r="L350" i="1"/>
  <c r="L289" i="1"/>
  <c r="F659" i="1" s="1"/>
  <c r="A31" i="12"/>
  <c r="C69" i="2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D49" i="2"/>
  <c r="D50" i="2" s="1"/>
  <c r="G156" i="2"/>
  <c r="F49" i="2"/>
  <c r="F50" i="2" s="1"/>
  <c r="F18" i="2"/>
  <c r="G162" i="2"/>
  <c r="G160" i="2"/>
  <c r="G157" i="2"/>
  <c r="E143" i="2"/>
  <c r="G102" i="2"/>
  <c r="E102" i="2"/>
  <c r="C102" i="2"/>
  <c r="D90" i="2"/>
  <c r="F90" i="2"/>
  <c r="E61" i="2"/>
  <c r="E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18" i="2" l="1"/>
  <c r="I662" i="1"/>
  <c r="L528" i="1"/>
  <c r="L544" i="1" s="1"/>
  <c r="L523" i="1"/>
  <c r="J641" i="1"/>
  <c r="G660" i="1"/>
  <c r="F31" i="13"/>
  <c r="E108" i="2"/>
  <c r="E114" i="2" s="1"/>
  <c r="C131" i="2"/>
  <c r="J649" i="1"/>
  <c r="C122" i="2"/>
  <c r="C18" i="10"/>
  <c r="C120" i="2"/>
  <c r="D12" i="13"/>
  <c r="C12" i="13" s="1"/>
  <c r="K256" i="1"/>
  <c r="C119" i="2"/>
  <c r="C17" i="10"/>
  <c r="C118" i="2"/>
  <c r="C16" i="10"/>
  <c r="C15" i="10"/>
  <c r="G256" i="1"/>
  <c r="G270" i="1" s="1"/>
  <c r="C111" i="2"/>
  <c r="C13" i="10"/>
  <c r="G33" i="13"/>
  <c r="L246" i="1"/>
  <c r="H659" i="1" s="1"/>
  <c r="H663" i="1" s="1"/>
  <c r="H671" i="1" s="1"/>
  <c r="C6" i="10" s="1"/>
  <c r="C12" i="10"/>
  <c r="F256" i="1"/>
  <c r="F270" i="1" s="1"/>
  <c r="C11" i="10"/>
  <c r="L228" i="1"/>
  <c r="C109" i="2"/>
  <c r="C114" i="2" s="1"/>
  <c r="A22" i="12"/>
  <c r="I256" i="1"/>
  <c r="I270" i="1" s="1"/>
  <c r="K270" i="1"/>
  <c r="E90" i="2"/>
  <c r="C62" i="2"/>
  <c r="C77" i="2"/>
  <c r="F139" i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C39" i="10" s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G544" i="1"/>
  <c r="H544" i="1"/>
  <c r="K550" i="1"/>
  <c r="F143" i="2"/>
  <c r="F144" i="2" s="1"/>
  <c r="L570" i="1" l="1"/>
  <c r="K551" i="1"/>
  <c r="E144" i="2"/>
  <c r="C127" i="2"/>
  <c r="L256" i="1"/>
  <c r="L270" i="1" s="1"/>
  <c r="G631" i="1" s="1"/>
  <c r="J631" i="1" s="1"/>
  <c r="H666" i="1"/>
  <c r="C28" i="10"/>
  <c r="C30" i="10" s="1"/>
  <c r="H647" i="1"/>
  <c r="J647" i="1" s="1"/>
  <c r="H192" i="1"/>
  <c r="G628" i="1" s="1"/>
  <c r="J628" i="1" s="1"/>
  <c r="C36" i="10"/>
  <c r="C103" i="2"/>
  <c r="F192" i="1"/>
  <c r="G626" i="1" s="1"/>
  <c r="J626" i="1" s="1"/>
  <c r="C38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D24" i="10" l="1"/>
  <c r="D27" i="10"/>
  <c r="D20" i="10"/>
  <c r="D23" i="10"/>
  <c r="D18" i="10"/>
  <c r="D12" i="10"/>
  <c r="D19" i="10"/>
  <c r="D22" i="10"/>
  <c r="D15" i="10"/>
  <c r="D10" i="10"/>
  <c r="D13" i="10"/>
  <c r="D26" i="10"/>
  <c r="D25" i="10"/>
  <c r="D17" i="10"/>
  <c r="D21" i="10"/>
  <c r="D16" i="10"/>
  <c r="D11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38" i="10"/>
  <c r="D36" i="10"/>
  <c r="D40" i="10"/>
  <c r="D37" i="10"/>
  <c r="D35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<sst xmlns="http://schemas.openxmlformats.org/spreadsheetml/2006/main" count="3945" uniqueCount="912">
  <si>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</si>
  <si>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</si>
  <si>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</si>
  <si>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</si>
  <si>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</si>
  <si>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</si>
  <si>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</si>
  <si>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</si>
  <si>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</si>
  <si>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</si>
  <si>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</si>
  <si>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</si>
  <si>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</si>
  <si>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</si>
  <si>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</si>
  <si>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</si>
  <si>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</si>
  <si>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</si>
  <si>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</si>
  <si>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</si>
  <si>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</si>
  <si>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</si>
  <si>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</si>
  <si>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</si>
  <si>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</si>
  <si>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</si>
  <si>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</si>
  <si>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</si>
  <si>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</si>
  <si>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</si>
  <si>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</si>
  <si>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</si>
  <si>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</si>
  <si>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</si>
  <si>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</si>
  <si>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</si>
  <si>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</si>
  <si>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</si>
  <si>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</si>
  <si>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</si>
  <si>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</si>
  <si>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</si>
  <si>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</si>
  <si>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</si>
  <si>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</si>
  <si>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</si>
  <si>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</si>
  <si>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</si>
  <si>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</si>
  <si>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</si>
  <si>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</si>
  <si>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</si>
  <si>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</si>
  <si>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</si>
  <si>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</si>
  <si>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</si>
  <si>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</si>
  <si>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</si>
  <si>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</si>
  <si>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</si>
  <si>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</si>
  <si>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</si>
  <si>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</si>
  <si>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</si>
  <si>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</si>
  <si>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</si>
  <si>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</si>
  <si>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</si>
  <si>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</si>
  <si>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</si>
  <si>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</si>
  <si>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</si>
  <si>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</si>
  <si>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</si>
  <si>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</si>
  <si>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</si>
  <si>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</si>
  <si>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</si>
  <si>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</si>
  <si>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</si>
  <si>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</si>
  <si>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</si>
  <si>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</si>
  <si>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</si>
  <si>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</si>
  <si>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</si>
  <si>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</si>
  <si>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</si>
  <si>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</si>
  <si>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</si>
  <si>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</si>
  <si>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</si>
  <si>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</si>
  <si>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</si>
  <si>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</si>
  <si>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</si>
  <si>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</si>
  <si>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</si>
  <si>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</si>
  <si>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</si>
  <si>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</si>
  <si>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</si>
  <si>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</si>
  <si>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</si>
  <si>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</si>
  <si>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</si>
  <si>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</si>
  <si>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</si>
  <si>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</si>
  <si>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</si>
  <si>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</si>
  <si>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</si>
  <si>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</si>
  <si>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</si>
  <si>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</si>
  <si>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</si>
  <si>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</si>
  <si>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</si>
  <si>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</si>
  <si>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</si>
  <si>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</si>
  <si>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</si>
  <si>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</si>
  <si>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</si>
  <si>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</si>
  <si>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</si>
  <si>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</si>
  <si>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</si>
  <si>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</si>
  <si>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</si>
  <si>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</si>
  <si>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</si>
  <si>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</si>
  <si>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</si>
  <si>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</si>
  <si>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</si>
  <si>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</si>
  <si>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</si>
  <si>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</si>
  <si>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</si>
  <si>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</si>
  <si>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</si>
  <si>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</si>
  <si>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</si>
  <si>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</si>
  <si>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</si>
  <si>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</si>
  <si>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</si>
  <si>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</si>
  <si>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</si>
  <si>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</si>
  <si>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</si>
  <si>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</si>
  <si>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</si>
  <si>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</si>
  <si>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</si>
  <si>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</si>
  <si>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</si>
  <si>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</si>
  <si>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</si>
  <si>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</si>
  <si>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</si>
  <si>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</si>
  <si>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</si>
  <si>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</si>
  <si>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</si>
  <si>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</si>
  <si>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</si>
  <si>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</si>
  <si>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</si>
  <si>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</si>
  <si>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</si>
  <si>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</si>
  <si>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</si>
  <si>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</si>
  <si>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</si>
  <si>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</si>
  <si>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</si>
  <si>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</si>
  <si>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</si>
  <si>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</si>
  <si>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</si>
  <si>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</si>
  <si>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</si>
  <si>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</si>
  <si>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</si>
  <si>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</si>
  <si>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</si>
  <si>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</si>
  <si>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</si>
  <si>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</si>
  <si>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</si>
  <si>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</si>
  <si>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</si>
  <si>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</si>
  <si>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</si>
  <si>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</si>
  <si>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</si>
  <si>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</si>
  <si>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</si>
  <si>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</si>
  <si>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</si>
  <si>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</si>
  <si>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</si>
  <si>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</si>
  <si>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</si>
  <si>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</si>
  <si>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</si>
  <si>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</si>
  <si>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</si>
  <si>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</si>
  <si>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</si>
  <si>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</si>
  <si>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</si>
  <si>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</si>
  <si>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</si>
  <si>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</si>
  <si>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</si>
  <si>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</si>
  <si>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</si>
  <si>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</si>
  <si>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</si>
  <si>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</si>
  <si>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</si>
  <si>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</si>
  <si>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</si>
  <si>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</si>
  <si>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</si>
  <si>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</si>
  <si>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</si>
  <si>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</si>
  <si>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</si>
  <si>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</si>
  <si>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</si>
  <si>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</si>
  <si>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</si>
  <si>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</si>
  <si>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</si>
  <si>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</si>
  <si>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</si>
  <si>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</si>
  <si>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</si>
  <si>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</si>
  <si>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</si>
  <si>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</si>
  <si>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</si>
  <si>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</si>
  <si>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</si>
  <si>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</si>
  <si>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</si>
  <si>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</si>
  <si>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</si>
  <si>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</si>
  <si>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</si>
  <si>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</si>
  <si>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</si>
  <si>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</si>
  <si>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</si>
  <si>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</si>
  <si>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</si>
  <si>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</si>
  <si>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</si>
  <si>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</si>
  <si>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</si>
  <si>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</si>
  <si>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</si>
  <si>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</si>
  <si>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</si>
  <si>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</si>
  <si>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</si>
  <si>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</si>
  <si>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</si>
  <si>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</si>
  <si>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</si>
  <si>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</si>
  <si>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</si>
  <si>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</si>
  <si>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</si>
  <si>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</si>
  <si>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</si>
  <si>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</si>
  <si>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</si>
  <si>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</si>
  <si>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</si>
  <si>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</si>
  <si>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</si>
  <si>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</si>
  <si>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</si>
  <si>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</si>
  <si>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</si>
  <si>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</si>
  <si>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</si>
  <si>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</si>
  <si>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</si>
  <si>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</si>
  <si>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</si>
  <si>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</si>
  <si>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</si>
  <si>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</si>
  <si>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</si>
  <si>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</si>
  <si>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</si>
  <si>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</si>
  <si>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</si>
  <si>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</si>
  <si>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</si>
  <si>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</si>
  <si>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</si>
  <si>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</si>
  <si>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</si>
  <si>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</si>
  <si>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</si>
  <si>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</si>
  <si>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</si>
  <si>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</si>
  <si>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</si>
  <si>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</si>
  <si>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</si>
  <si>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</si>
  <si>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</si>
  <si>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</si>
  <si>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</si>
  <si>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</si>
  <si>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</si>
  <si>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</si>
  <si>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</si>
  <si>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</si>
  <si>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</si>
  <si>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</si>
  <si>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</si>
  <si>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</si>
  <si>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</si>
  <si>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</si>
  <si>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</si>
  <si>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</si>
  <si>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</si>
  <si>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</si>
  <si>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</si>
  <si>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</si>
  <si>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</si>
  <si>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</si>
  <si>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</si>
  <si>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</si>
  <si>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</si>
  <si>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</si>
  <si>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</si>
  <si>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</si>
  <si>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</si>
  <si>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</si>
  <si>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</si>
  <si>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</si>
  <si>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</si>
  <si>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</si>
  <si>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</si>
  <si>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</si>
  <si>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</si>
  <si>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</si>
  <si>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</si>
  <si>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</si>
  <si>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</si>
  <si>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</si>
  <si>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</si>
  <si>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</si>
  <si>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</si>
  <si>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</si>
  <si>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</si>
  <si>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</si>
  <si>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</si>
  <si>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</si>
  <si>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</si>
  <si>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</si>
  <si>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</si>
  <si>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</si>
  <si>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</si>
  <si>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</si>
  <si>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</si>
  <si>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</si>
  <si>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</si>
  <si>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</si>
  <si>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</si>
  <si>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</si>
  <si>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</si>
  <si>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</si>
  <si>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</si>
  <si>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</si>
  <si>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</si>
  <si>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</si>
  <si>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</si>
  <si>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</si>
  <si>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</si>
  <si>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</si>
  <si>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</si>
  <si>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</si>
  <si>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</si>
  <si>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</si>
  <si>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</si>
  <si>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</si>
  <si>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</si>
  <si>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</si>
  <si>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</si>
  <si>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</si>
  <si>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</si>
  <si>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</si>
  <si>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</si>
  <si>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</si>
  <si>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</si>
  <si>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</si>
  <si>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</si>
  <si>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</si>
  <si>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</si>
  <si>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</si>
  <si>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</si>
  <si>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</si>
  <si>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</si>
  <si>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</si>
  <si>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</si>
  <si>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</si>
  <si>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</si>
  <si>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</si>
  <si>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</si>
  <si>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</si>
  <si>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</si>
  <si>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</si>
  <si>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</si>
  <si>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</si>
  <si>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</si>
  <si>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</si>
  <si>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</si>
  <si>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</si>
  <si>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</si>
  <si>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</si>
  <si>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</si>
  <si>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</si>
  <si>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</si>
  <si>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</si>
  <si>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</si>
  <si>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</si>
  <si>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</si>
  <si>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</si>
  <si>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</si>
  <si>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</si>
  <si>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</si>
  <si>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</si>
  <si>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</si>
  <si>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</si>
  <si>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</si>
  <si>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</si>
  <si>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</si>
  <si>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</si>
  <si>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</si>
  <si>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</si>
  <si>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</si>
  <si>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</si>
  <si>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</si>
  <si>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</si>
  <si>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</si>
  <si>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</si>
  <si>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</si>
  <si>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</si>
  <si>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</si>
  <si>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</si>
  <si>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</si>
  <si>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</si>
  <si>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</si>
  <si>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</si>
  <si>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</si>
  <si>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</si>
  <si>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</si>
  <si>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</si>
  <si>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</si>
  <si>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</si>
  <si>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</si>
  <si>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</si>
  <si>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</si>
  <si>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</si>
  <si>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</si>
  <si>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</si>
  <si>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</si>
  <si>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</si>
  <si>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</si>
  <si>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</si>
  <si>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</si>
  <si>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</si>
  <si>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</si>
  <si>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</si>
  <si>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</si>
  <si>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</si>
  <si>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</si>
  <si>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</si>
  <si>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</si>
  <si>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</si>
  <si>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</si>
  <si>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</si>
  <si>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</si>
  <si>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</si>
  <si>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</si>
  <si>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</si>
  <si>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</si>
  <si>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</si>
  <si>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</si>
  <si>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</si>
  <si>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</si>
  <si>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</si>
  <si>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</si>
  <si>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</si>
  <si>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</si>
  <si>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</si>
  <si>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</si>
  <si>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</si>
  <si>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</si>
  <si>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</si>
  <si>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</si>
  <si>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</si>
  <si>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</si>
  <si>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</si>
  <si>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</si>
  <si>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</si>
  <si>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</si>
  <si>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</si>
  <si>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</si>
  <si>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</si>
  <si>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</si>
  <si>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</si>
  <si>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</si>
  <si>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</si>
  <si>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</si>
  <si>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</si>
  <si>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</si>
  <si>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</si>
  <si>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</si>
  <si>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</si>
  <si>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</si>
  <si>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</si>
  <si>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</si>
  <si>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</si>
  <si>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</si>
  <si>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</si>
  <si>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</si>
  <si>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</si>
  <si>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</si>
  <si>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</si>
  <si>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</si>
  <si>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</si>
  <si>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</si>
  <si>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</si>
  <si>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</si>
  <si>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</si>
  <si>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</si>
  <si>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</si>
  <si>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</si>
  <si>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</si>
  <si>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</si>
  <si>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</si>
  <si>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</si>
  <si>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</si>
  <si>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</si>
  <si>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</si>
  <si>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</si>
  <si>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</si>
  <si>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</si>
  <si>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</si>
  <si>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</si>
  <si>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</si>
  <si>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</si>
  <si>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</si>
  <si>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</si>
  <si>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</si>
  <si>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</si>
  <si>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</si>
  <si>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</si>
  <si>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</si>
  <si>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</si>
  <si>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</si>
  <si>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</si>
  <si>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</si>
  <si>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</si>
  <si>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</si>
  <si>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</si>
  <si>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</si>
  <si>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</si>
  <si>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</si>
  <si>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</si>
  <si>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</si>
  <si>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</si>
  <si>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</si>
  <si>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</si>
  <si>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</si>
  <si>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</si>
  <si>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</si>
  <si>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</si>
  <si>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</si>
  <si>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</si>
  <si>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</si>
  <si>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</si>
  <si>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</si>
  <si>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</si>
  <si>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</si>
  <si>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</si>
  <si>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</si>
  <si>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</si>
  <si>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</si>
  <si>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</si>
  <si>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</si>
  <si>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</si>
  <si>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</si>
  <si>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</si>
  <si>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</si>
  <si>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</si>
  <si>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</si>
  <si>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</si>
  <si>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</si>
  <si>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</si>
  <si>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</si>
  <si>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</si>
  <si>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</si>
  <si>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</si>
  <si>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</si>
  <si>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</si>
  <si>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</si>
  <si>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</si>
  <si>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</si>
  <si>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</si>
  <si>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</si>
  <si>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</si>
  <si>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</si>
  <si>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</si>
  <si>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</si>
  <si>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</si>
  <si>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</si>
  <si>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</si>
  <si>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</si>
  <si>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</si>
  <si>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</si>
  <si>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</si>
  <si>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</si>
  <si>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</si>
  <si>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</si>
  <si>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</si>
  <si>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</si>
  <si>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</si>
  <si>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</si>
  <si>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</si>
  <si>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</si>
  <si>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</si>
  <si>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</si>
  <si>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</si>
  <si>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</si>
  <si>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</si>
  <si>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</si>
  <si>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</si>
  <si>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</si>
  <si>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</si>
  <si>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</si>
  <si>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</si>
  <si>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</si>
  <si>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</si>
  <si>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</si>
  <si>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</si>
  <si>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</si>
  <si>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</si>
  <si>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</si>
  <si>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</si>
  <si>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</si>
  <si>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</si>
  <si>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</si>
  <si>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</si>
  <si>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</si>
  <si>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</si>
  <si>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</si>
  <si>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</si>
  <si>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</si>
  <si>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</si>
  <si>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</si>
  <si>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</si>
  <si>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</si>
  <si>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</si>
  <si>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</si>
  <si>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</si>
  <si>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</si>
  <si>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</si>
  <si>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</si>
  <si>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</si>
  <si>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</si>
  <si>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</si>
  <si>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</si>
  <si>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</si>
  <si>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</si>
  <si>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</si>
  <si>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</si>
  <si>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</si>
  <si>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</si>
  <si>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</si>
  <si>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</si>
  <si>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</si>
  <si>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</si>
  <si>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</si>
  <si>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</si>
  <si>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</si>
  <si>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</si>
  <si>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</si>
  <si>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</si>
  <si>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</si>
  <si>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</si>
  <si>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</si>
  <si>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</si>
  <si>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</si>
  <si>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</si>
  <si>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</si>
  <si>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</si>
  <si>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</si>
  <si>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</si>
  <si>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</si>
  <si>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</si>
  <si>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</si>
  <si>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</si>
  <si>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</si>
  <si>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</si>
  <si>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</si>
  <si>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</si>
  <si>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</si>
  <si>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</si>
  <si>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</si>
  <si>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</si>
  <si>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</si>
  <si>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</si>
  <si>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</si>
  <si>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</si>
  <si>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</si>
  <si>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</si>
  <si>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</si>
  <si>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</si>
  <si>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</si>
  <si>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</si>
  <si>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</si>
  <si>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</si>
  <si>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</si>
  <si>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</si>
  <si>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</si>
  <si>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</si>
  <si>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</si>
  <si>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</si>
  <si>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</si>
  <si>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</si>
  <si>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</si>
  <si>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</si>
  <si>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</si>
  <si>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</si>
  <si>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</si>
  <si>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</si>
  <si>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</si>
  <si>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</si>
  <si>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</si>
  <si>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</si>
  <si>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</si>
  <si>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</si>
  <si>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</si>
  <si>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</si>
  <si>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</si>
  <si>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</si>
  <si>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</si>
  <si>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</si>
  <si>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</si>
  <si>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</si>
  <si>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</si>
  <si>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</si>
  <si>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</si>
  <si>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</si>
  <si>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</si>
  <si>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</si>
  <si>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</si>
  <si>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</si>
  <si>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</si>
  <si>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</si>
  <si>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</si>
  <si>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</si>
  <si>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</si>
  <si>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</si>
  <si>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</si>
  <si>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</si>
  <si>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</si>
  <si>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</si>
  <si>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</si>
  <si>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</si>
  <si>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</si>
  <si>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</si>
  <si>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</si>
  <si>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</si>
  <si>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</si>
  <si>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</si>
  <si>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</si>
  <si>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</si>
  <si>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</si>
  <si>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</si>
  <si>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</si>
  <si>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</si>
  <si>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</si>
  <si>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</si>
  <si>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</si>
  <si>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</si>
  <si>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</si>
  <si>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</si>
  <si>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</si>
  <si>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</si>
  <si>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</si>
  <si>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</si>
  <si>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</si>
  <si>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</si>
  <si>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</si>
  <si>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</si>
  <si>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</si>
  <si>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</si>
  <si>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</si>
  <si>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</si>
  <si>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</si>
  <si>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</si>
  <si>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</si>
  <si>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</si>
  <si>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</si>
  <si>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</si>
  <si>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</si>
  <si>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</si>
  <si>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</si>
  <si>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</si>
  <si>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</si>
  <si>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</si>
  <si>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</si>
  <si>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</si>
  <si>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</si>
  <si>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</si>
  <si>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</si>
  <si>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</si>
  <si>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</si>
  <si>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</si>
  <si>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</si>
  <si>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</si>
  <si>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</si>
  <si>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</si>
  <si>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</si>
  <si>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</si>
  <si>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</si>
  <si>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</si>
  <si>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</si>
  <si>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</si>
  <si>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</si>
  <si>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</si>
  <si>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</si>
  <si>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</si>
  <si>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</si>
  <si>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</si>
  <si>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</si>
  <si>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</si>
  <si>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</si>
  <si>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</si>
  <si>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</si>
  <si>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</si>
  <si>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</si>
  <si>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</si>
  <si>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</si>
  <si>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</si>
  <si>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</si>
  <si>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</si>
  <si>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</si>
  <si>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</si>
  <si>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</si>
  <si>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</si>
  <si>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</si>
  <si>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</si>
  <si>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</si>
  <si>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</si>
  <si>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</si>
  <si>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</si>
  <si>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</si>
  <si>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</si>
  <si>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</si>
  <si>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</si>
  <si>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</si>
  <si>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</si>
  <si>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</si>
  <si>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</si>
  <si>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</si>
  <si>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</si>
  <si>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</si>
  <si>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</si>
  <si>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</si>
  <si>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</si>
  <si>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</si>
  <si>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</si>
  <si>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</si>
  <si>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</si>
  <si>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</si>
  <si>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</si>
  <si>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</si>
  <si>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</si>
  <si>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</si>
  <si>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</si>
  <si>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</si>
  <si>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</si>
  <si>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</si>
  <si>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</si>
  <si>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</si>
  <si>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</si>
  <si>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</si>
  <si>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</si>
  <si>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</si>
  <si>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</si>
  <si>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</si>
  <si>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</si>
  <si>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</si>
  <si>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</si>
  <si>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PROFILE SCHOOL DISTRICT</t>
  </si>
  <si>
    <t>01/07</t>
  </si>
  <si>
    <t>01/27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</si>
</sst>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450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413653.48</v>
      </c>
      <c r="G9" s="18">
        <v>-5315.35</v>
      </c>
      <c r="H9" s="18">
        <v>-61335.71</v>
      </c>
      <c r="I9" s="18"/>
      <c r="J9" s="67">
        <f>SUM(I438)</f>
        <v>256432.75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150.25</v>
      </c>
      <c r="G13" s="18">
        <v>7036.17</v>
      </c>
      <c r="H13" s="18">
        <v>61475.71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1064.6600000000001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414868.38999999996</v>
      </c>
      <c r="G19" s="41">
        <f>SUM(G9:G18)</f>
        <v>1720.8199999999997</v>
      </c>
      <c r="H19" s="41">
        <f>SUM(H9:H18)</f>
        <v>140</v>
      </c>
      <c r="I19" s="41">
        <f>SUM(I9:I18)</f>
        <v>0</v>
      </c>
      <c r="J19" s="41">
        <f>SUM(J9:J18)</f>
        <v>256432.75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151</v>
      </c>
      <c r="H24" s="18">
        <v>140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61388.47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61388.47</v>
      </c>
      <c r="G32" s="41">
        <f>SUM(G22:G31)</f>
        <v>151</v>
      </c>
      <c r="H32" s="41">
        <f>SUM(H22:H31)</f>
        <v>140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1569.82</v>
      </c>
      <c r="H47" s="18">
        <v>0</v>
      </c>
      <c r="I47" s="18"/>
      <c r="J47" s="13">
        <f>SUM(I458)</f>
        <v>256432.75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328479.92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353479.92</v>
      </c>
      <c r="G50" s="41">
        <f>SUM(G35:G49)</f>
        <v>1569.82</v>
      </c>
      <c r="H50" s="41">
        <f>SUM(H35:H49)</f>
        <v>0</v>
      </c>
      <c r="I50" s="41">
        <f>SUM(I35:I49)</f>
        <v>0</v>
      </c>
      <c r="J50" s="41">
        <f>SUM(J35:J49)</f>
        <v>256432.75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414868.39</v>
      </c>
      <c r="G51" s="41">
        <f>G50+G32</f>
        <v>1720.82</v>
      </c>
      <c r="H51" s="41">
        <f>H50+H32</f>
        <v>140</v>
      </c>
      <c r="I51" s="41">
        <f>I50+I32</f>
        <v>0</v>
      </c>
      <c r="J51" s="41">
        <f>J50+J32</f>
        <v>256432.75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4210357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4210357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4710.8599999999997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11089.68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15800.54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612.61</v>
      </c>
      <c r="G95" s="18"/>
      <c r="H95" s="18"/>
      <c r="I95" s="18"/>
      <c r="J95" s="18">
        <v>189.72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94840.76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42749.33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43361.94</v>
      </c>
      <c r="G110" s="41">
        <f>SUM(G95:G109)</f>
        <v>94840.76</v>
      </c>
      <c r="H110" s="41">
        <f>SUM(H95:H109)</f>
        <v>0</v>
      </c>
      <c r="I110" s="41">
        <f>SUM(I95:I109)</f>
        <v>0</v>
      </c>
      <c r="J110" s="41">
        <f>SUM(J95:J109)</f>
        <v>189.72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4269519.4800000004</v>
      </c>
      <c r="G111" s="41">
        <f>G59+G110</f>
        <v>94840.76</v>
      </c>
      <c r="H111" s="41">
        <f>H59+H78+H93+H110</f>
        <v>0</v>
      </c>
      <c r="I111" s="41">
        <f>I59+I110</f>
        <v>0</v>
      </c>
      <c r="J111" s="41">
        <f>J59+J110</f>
        <v>189.72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670503.05000000005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915337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580.95000000000005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1586421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356030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35674.03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1222.8499999999999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1087.03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392926.88</v>
      </c>
      <c r="G135" s="41">
        <f>SUM(G122:G134)</f>
        <v>1087.03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1979347.88</v>
      </c>
      <c r="G139" s="41">
        <f>G120+SUM(G135:G136)</f>
        <v>1087.03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32700.47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32700.47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74521.14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43703.38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42263.82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61813.73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68173.39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68173.39</v>
      </c>
      <c r="G161" s="41">
        <f>SUM(G149:G160)</f>
        <v>42263.82</v>
      </c>
      <c r="H161" s="41">
        <f>SUM(H149:H160)</f>
        <v>180038.25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685.37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68858.759999999995</v>
      </c>
      <c r="G168" s="41">
        <f>G146+G161+SUM(G162:G167)</f>
        <v>42263.82</v>
      </c>
      <c r="H168" s="41">
        <f>H146+H161+SUM(H162:H167)</f>
        <v>212738.72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6317726.1200000001</v>
      </c>
      <c r="G192" s="47">
        <f>G111+G139+G168+G191</f>
        <v>138191.60999999999</v>
      </c>
      <c r="H192" s="47">
        <f>H111+H139+H168+H191</f>
        <v>212738.72</v>
      </c>
      <c r="I192" s="47">
        <f>I111+I139+I168+I191</f>
        <v>0</v>
      </c>
      <c r="J192" s="47">
        <f>J111+J139+J191</f>
        <v>50189.72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433421.97</v>
      </c>
      <c r="G214" s="18">
        <v>169286.71</v>
      </c>
      <c r="H214" s="18">
        <v>13887.87</v>
      </c>
      <c r="I214" s="18">
        <v>22086.52</v>
      </c>
      <c r="J214" s="18">
        <v>7167.7</v>
      </c>
      <c r="K214" s="18"/>
      <c r="L214" s="19">
        <f>SUM(F214:K214)</f>
        <v>645850.7699999999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283124.05</v>
      </c>
      <c r="G215" s="18">
        <v>234560.21</v>
      </c>
      <c r="H215" s="18">
        <v>618.5</v>
      </c>
      <c r="I215" s="18">
        <v>3312.35</v>
      </c>
      <c r="J215" s="18">
        <v>306.12</v>
      </c>
      <c r="K215" s="18"/>
      <c r="L215" s="19">
        <f>SUM(F215:K215)</f>
        <v>521921.23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36248.11</v>
      </c>
      <c r="G216" s="18">
        <v>19072.54</v>
      </c>
      <c r="H216" s="18"/>
      <c r="I216" s="18">
        <v>3912.93</v>
      </c>
      <c r="J216" s="18">
        <v>172.67</v>
      </c>
      <c r="K216" s="18"/>
      <c r="L216" s="19">
        <f>SUM(F216:K216)</f>
        <v>59406.25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30444.78</v>
      </c>
      <c r="G217" s="18">
        <v>5617.48</v>
      </c>
      <c r="H217" s="18">
        <v>8975</v>
      </c>
      <c r="I217" s="18">
        <v>1609.39</v>
      </c>
      <c r="J217" s="18">
        <v>5319.87</v>
      </c>
      <c r="K217" s="18">
        <v>5534.95</v>
      </c>
      <c r="L217" s="19">
        <f>SUM(F217:K217)</f>
        <v>57501.469999999994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35809.56</v>
      </c>
      <c r="G219" s="18">
        <v>17083.12</v>
      </c>
      <c r="H219" s="18">
        <v>37110.910000000003</v>
      </c>
      <c r="I219" s="18">
        <v>1298.04</v>
      </c>
      <c r="J219" s="18">
        <v>490</v>
      </c>
      <c r="K219" s="18"/>
      <c r="L219" s="19">
        <f t="shared" ref="L219:L225" si="2">SUM(F219:K219)</f>
        <v>91791.62999999999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40212.29</v>
      </c>
      <c r="G220" s="18">
        <v>19222.37</v>
      </c>
      <c r="H220" s="18"/>
      <c r="I220" s="18">
        <v>3838.64</v>
      </c>
      <c r="J220" s="18">
        <v>830.61</v>
      </c>
      <c r="K220" s="18">
        <v>10215.48</v>
      </c>
      <c r="L220" s="19">
        <f t="shared" si="2"/>
        <v>74319.39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3053.75</v>
      </c>
      <c r="G221" s="18">
        <v>262.11</v>
      </c>
      <c r="H221" s="18">
        <v>106450.85</v>
      </c>
      <c r="I221" s="18"/>
      <c r="J221" s="18"/>
      <c r="K221" s="18">
        <v>4818.4399999999996</v>
      </c>
      <c r="L221" s="19">
        <f t="shared" si="2"/>
        <v>114585.15000000001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73220.73</v>
      </c>
      <c r="G222" s="18">
        <v>33413.5</v>
      </c>
      <c r="H222" s="18">
        <v>17366.05</v>
      </c>
      <c r="I222" s="18">
        <v>2637.56</v>
      </c>
      <c r="J222" s="18"/>
      <c r="K222" s="18">
        <v>700.68</v>
      </c>
      <c r="L222" s="19">
        <f t="shared" si="2"/>
        <v>127338.51999999999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40070.78</v>
      </c>
      <c r="G224" s="18">
        <v>22375.68</v>
      </c>
      <c r="H224" s="18">
        <v>35857.050000000003</v>
      </c>
      <c r="I224" s="18">
        <v>62728.800000000003</v>
      </c>
      <c r="J224" s="18">
        <v>3071.02</v>
      </c>
      <c r="K224" s="18"/>
      <c r="L224" s="19">
        <f t="shared" si="2"/>
        <v>164103.32999999999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19366.07</v>
      </c>
      <c r="I225" s="18"/>
      <c r="J225" s="18"/>
      <c r="K225" s="18"/>
      <c r="L225" s="19">
        <f t="shared" si="2"/>
        <v>19366.07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975606.02</v>
      </c>
      <c r="G228" s="41">
        <f>SUM(G214:G227)</f>
        <v>520893.71999999991</v>
      </c>
      <c r="H228" s="41">
        <f>SUM(H214:H227)</f>
        <v>239632.3</v>
      </c>
      <c r="I228" s="41">
        <f>SUM(I214:I227)</f>
        <v>101424.23000000001</v>
      </c>
      <c r="J228" s="41">
        <f>SUM(J214:J227)</f>
        <v>17357.990000000002</v>
      </c>
      <c r="K228" s="41">
        <f t="shared" si="3"/>
        <v>21269.55</v>
      </c>
      <c r="L228" s="41">
        <f t="shared" si="3"/>
        <v>1876183.8099999998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801578.02</v>
      </c>
      <c r="G232" s="18">
        <v>385032.79</v>
      </c>
      <c r="H232" s="18">
        <v>27210.12</v>
      </c>
      <c r="I232" s="18">
        <v>33655.919999999998</v>
      </c>
      <c r="J232" s="18">
        <v>13310.71</v>
      </c>
      <c r="K232" s="18"/>
      <c r="L232" s="19">
        <f>SUM(F232:K232)</f>
        <v>1260787.56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194076.31</v>
      </c>
      <c r="G233" s="18">
        <v>143311.69</v>
      </c>
      <c r="H233" s="18">
        <v>218841.81</v>
      </c>
      <c r="I233" s="18">
        <v>5219.97</v>
      </c>
      <c r="J233" s="18">
        <v>568.48</v>
      </c>
      <c r="K233" s="18"/>
      <c r="L233" s="19">
        <f>SUM(F233:K233)</f>
        <v>562018.26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67317.929999999993</v>
      </c>
      <c r="G234" s="18">
        <v>35419.620000000003</v>
      </c>
      <c r="H234" s="18">
        <v>26665.84</v>
      </c>
      <c r="I234" s="18">
        <v>7266.81</v>
      </c>
      <c r="J234" s="18">
        <v>320.61</v>
      </c>
      <c r="K234" s="18"/>
      <c r="L234" s="19">
        <f>SUM(F234:K234)</f>
        <v>136990.80999999997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60504.72</v>
      </c>
      <c r="G235" s="18">
        <v>8651.98</v>
      </c>
      <c r="H235" s="18">
        <v>16667.849999999999</v>
      </c>
      <c r="I235" s="18">
        <v>2988.77</v>
      </c>
      <c r="J235" s="18">
        <v>9890.68</v>
      </c>
      <c r="K235" s="18">
        <v>8602.99</v>
      </c>
      <c r="L235" s="19">
        <f>SUM(F235:K235)</f>
        <v>107306.99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86265.99</v>
      </c>
      <c r="G237" s="18">
        <v>32874.06</v>
      </c>
      <c r="H237" s="18">
        <v>59793.16</v>
      </c>
      <c r="I237" s="18">
        <v>2596.88</v>
      </c>
      <c r="J237" s="18">
        <v>909.99</v>
      </c>
      <c r="K237" s="18"/>
      <c r="L237" s="19">
        <f t="shared" ref="L237:L243" si="4">SUM(F237:K237)</f>
        <v>182440.08000000002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74679.710000000006</v>
      </c>
      <c r="G238" s="18">
        <v>35698.959999999999</v>
      </c>
      <c r="H238" s="18"/>
      <c r="I238" s="18">
        <v>6982.58</v>
      </c>
      <c r="J238" s="18">
        <v>1542.55</v>
      </c>
      <c r="K238" s="18">
        <v>18971.54</v>
      </c>
      <c r="L238" s="19">
        <f t="shared" si="4"/>
        <v>137875.34000000003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5671.25</v>
      </c>
      <c r="G239" s="18">
        <v>486.78</v>
      </c>
      <c r="H239" s="18">
        <v>197694.45</v>
      </c>
      <c r="I239" s="18"/>
      <c r="J239" s="18"/>
      <c r="K239" s="18">
        <v>8948.52</v>
      </c>
      <c r="L239" s="19">
        <f t="shared" si="4"/>
        <v>212801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135981.25</v>
      </c>
      <c r="G240" s="18">
        <v>62067.66</v>
      </c>
      <c r="H240" s="18">
        <v>36051.199999999997</v>
      </c>
      <c r="I240" s="18">
        <v>4898.21</v>
      </c>
      <c r="J240" s="18"/>
      <c r="K240" s="18">
        <v>4357.1499999999996</v>
      </c>
      <c r="L240" s="19">
        <f t="shared" si="4"/>
        <v>243355.46999999997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81245.83</v>
      </c>
      <c r="G242" s="18">
        <v>40820.97</v>
      </c>
      <c r="H242" s="18">
        <v>66425.72</v>
      </c>
      <c r="I242" s="18">
        <v>116496.31</v>
      </c>
      <c r="J242" s="18">
        <v>5703.28</v>
      </c>
      <c r="K242" s="18"/>
      <c r="L242" s="19">
        <f t="shared" si="4"/>
        <v>310692.11000000004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68889.48</v>
      </c>
      <c r="I243" s="18">
        <v>2187.65</v>
      </c>
      <c r="J243" s="18"/>
      <c r="K243" s="18"/>
      <c r="L243" s="19">
        <f t="shared" si="4"/>
        <v>71077.12999999999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1507321.01</v>
      </c>
      <c r="G246" s="41">
        <f t="shared" si="5"/>
        <v>744364.50999999989</v>
      </c>
      <c r="H246" s="41">
        <f t="shared" si="5"/>
        <v>718239.62999999989</v>
      </c>
      <c r="I246" s="41">
        <f t="shared" si="5"/>
        <v>182293.09999999998</v>
      </c>
      <c r="J246" s="41">
        <f t="shared" si="5"/>
        <v>32246.3</v>
      </c>
      <c r="K246" s="41">
        <f t="shared" si="5"/>
        <v>40880.200000000004</v>
      </c>
      <c r="L246" s="41">
        <f t="shared" si="5"/>
        <v>3225344.7499999995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2482927.0300000003</v>
      </c>
      <c r="G256" s="41">
        <f t="shared" si="8"/>
        <v>1265258.2299999997</v>
      </c>
      <c r="H256" s="41">
        <f t="shared" si="8"/>
        <v>957871.92999999993</v>
      </c>
      <c r="I256" s="41">
        <f t="shared" si="8"/>
        <v>283717.32999999996</v>
      </c>
      <c r="J256" s="41">
        <f t="shared" si="8"/>
        <v>49604.29</v>
      </c>
      <c r="K256" s="41">
        <f t="shared" si="8"/>
        <v>62149.75</v>
      </c>
      <c r="L256" s="41">
        <f t="shared" si="8"/>
        <v>5101528.5599999996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650000</v>
      </c>
      <c r="L259" s="19">
        <f>SUM(F259:K259)</f>
        <v>650000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463481.26</v>
      </c>
      <c r="L260" s="19">
        <f>SUM(F260:K260)</f>
        <v>463481.26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21391.68</v>
      </c>
      <c r="L267" s="19">
        <f t="shared" si="9"/>
        <v>21391.68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1184872.94</v>
      </c>
      <c r="L269" s="41">
        <f t="shared" si="9"/>
        <v>1184872.94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2482927.0300000003</v>
      </c>
      <c r="G270" s="42">
        <f t="shared" si="11"/>
        <v>1265258.2299999997</v>
      </c>
      <c r="H270" s="42">
        <f t="shared" si="11"/>
        <v>957871.92999999993</v>
      </c>
      <c r="I270" s="42">
        <f t="shared" si="11"/>
        <v>283717.32999999996</v>
      </c>
      <c r="J270" s="42">
        <f t="shared" si="11"/>
        <v>49604.29</v>
      </c>
      <c r="K270" s="42">
        <f t="shared" si="11"/>
        <v>1247022.69</v>
      </c>
      <c r="L270" s="42">
        <f t="shared" si="11"/>
        <v>6286401.5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2418.8200000000002</v>
      </c>
      <c r="G294" s="18">
        <v>443.74</v>
      </c>
      <c r="H294" s="18">
        <v>4099.0200000000004</v>
      </c>
      <c r="I294" s="18">
        <v>1966.6</v>
      </c>
      <c r="J294" s="18">
        <v>2235.6</v>
      </c>
      <c r="K294" s="18"/>
      <c r="L294" s="19">
        <f>SUM(F294:K294)</f>
        <v>11163.78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43709.68</v>
      </c>
      <c r="G295" s="18">
        <v>25143.99</v>
      </c>
      <c r="H295" s="18"/>
      <c r="I295" s="18"/>
      <c r="J295" s="18"/>
      <c r="K295" s="18"/>
      <c r="L295" s="19">
        <f>SUM(F295:K295)</f>
        <v>68853.67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9641.27</v>
      </c>
      <c r="G299" s="18">
        <v>1803.9</v>
      </c>
      <c r="H299" s="18"/>
      <c r="I299" s="18"/>
      <c r="J299" s="18"/>
      <c r="K299" s="18"/>
      <c r="L299" s="19">
        <f t="shared" ref="L299:L305" si="14">SUM(F299:K299)</f>
        <v>11445.17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2562</v>
      </c>
      <c r="G300" s="18">
        <v>483.15</v>
      </c>
      <c r="H300" s="18">
        <v>4996.8599999999997</v>
      </c>
      <c r="I300" s="18">
        <v>613.38</v>
      </c>
      <c r="J300" s="18"/>
      <c r="K300" s="18"/>
      <c r="L300" s="19">
        <f t="shared" si="14"/>
        <v>8655.39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v>2974.4</v>
      </c>
      <c r="L301" s="19">
        <f t="shared" si="14"/>
        <v>2974.4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58331.770000000004</v>
      </c>
      <c r="G308" s="42">
        <f t="shared" si="15"/>
        <v>27874.780000000006</v>
      </c>
      <c r="H308" s="42">
        <f t="shared" si="15"/>
        <v>9095.880000000001</v>
      </c>
      <c r="I308" s="42">
        <f t="shared" si="15"/>
        <v>2579.98</v>
      </c>
      <c r="J308" s="42">
        <f t="shared" si="15"/>
        <v>2235.6</v>
      </c>
      <c r="K308" s="42">
        <f t="shared" si="15"/>
        <v>2974.4</v>
      </c>
      <c r="L308" s="41">
        <f t="shared" si="15"/>
        <v>103092.40999999999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4492.08</v>
      </c>
      <c r="G313" s="18">
        <v>824.3</v>
      </c>
      <c r="H313" s="18">
        <v>7612.47</v>
      </c>
      <c r="I313" s="18">
        <v>3652.28</v>
      </c>
      <c r="J313" s="18">
        <v>4151.8500000000004</v>
      </c>
      <c r="K313" s="18"/>
      <c r="L313" s="19">
        <f>SUM(F313:K313)</f>
        <v>20732.980000000003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7810</v>
      </c>
      <c r="G314" s="18">
        <v>1376.02</v>
      </c>
      <c r="H314" s="18">
        <v>26080.639999999999</v>
      </c>
      <c r="I314" s="18">
        <v>1818.87</v>
      </c>
      <c r="J314" s="18">
        <v>5504.16</v>
      </c>
      <c r="K314" s="18"/>
      <c r="L314" s="19">
        <f>SUM(F314:K314)</f>
        <v>42589.69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3000</v>
      </c>
      <c r="G316" s="18">
        <v>470.1</v>
      </c>
      <c r="H316" s="18"/>
      <c r="I316" s="18"/>
      <c r="J316" s="18"/>
      <c r="K316" s="18"/>
      <c r="L316" s="19">
        <f>SUM(F316:K316)</f>
        <v>3470.1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17905.21</v>
      </c>
      <c r="G318" s="18">
        <v>3350.1</v>
      </c>
      <c r="H318" s="18"/>
      <c r="I318" s="18"/>
      <c r="J318" s="18"/>
      <c r="K318" s="18"/>
      <c r="L318" s="19">
        <f t="shared" ref="L318:L324" si="16">SUM(F318:K318)</f>
        <v>21255.309999999998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4758</v>
      </c>
      <c r="G319" s="18">
        <v>897.3</v>
      </c>
      <c r="H319" s="18">
        <v>9279.8799999999992</v>
      </c>
      <c r="I319" s="18">
        <v>1139.1400000000001</v>
      </c>
      <c r="J319" s="18"/>
      <c r="K319" s="18"/>
      <c r="L319" s="19">
        <f t="shared" si="16"/>
        <v>16074.32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>
        <v>5523.91</v>
      </c>
      <c r="L320" s="19">
        <f t="shared" si="16"/>
        <v>5523.91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37965.29</v>
      </c>
      <c r="G327" s="42">
        <f t="shared" si="17"/>
        <v>6917.82</v>
      </c>
      <c r="H327" s="42">
        <f t="shared" si="17"/>
        <v>42972.99</v>
      </c>
      <c r="I327" s="42">
        <f t="shared" si="17"/>
        <v>6610.29</v>
      </c>
      <c r="J327" s="42">
        <f t="shared" si="17"/>
        <v>9656.01</v>
      </c>
      <c r="K327" s="42">
        <f t="shared" si="17"/>
        <v>5523.91</v>
      </c>
      <c r="L327" s="41">
        <f t="shared" si="17"/>
        <v>109646.31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96297.06</v>
      </c>
      <c r="G337" s="41">
        <f t="shared" si="20"/>
        <v>34792.600000000006</v>
      </c>
      <c r="H337" s="41">
        <f t="shared" si="20"/>
        <v>52068.869999999995</v>
      </c>
      <c r="I337" s="41">
        <f t="shared" si="20"/>
        <v>9190.27</v>
      </c>
      <c r="J337" s="41">
        <f t="shared" si="20"/>
        <v>11891.61</v>
      </c>
      <c r="K337" s="41">
        <f t="shared" si="20"/>
        <v>8498.31</v>
      </c>
      <c r="L337" s="41">
        <f t="shared" si="20"/>
        <v>212738.71999999997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96297.06</v>
      </c>
      <c r="G351" s="41">
        <f>G337</f>
        <v>34792.600000000006</v>
      </c>
      <c r="H351" s="41">
        <f>H337</f>
        <v>52068.869999999995</v>
      </c>
      <c r="I351" s="41">
        <f>I337</f>
        <v>9190.27</v>
      </c>
      <c r="J351" s="41">
        <f>J337</f>
        <v>11891.61</v>
      </c>
      <c r="K351" s="47">
        <f>K337+K350</f>
        <v>8498.31</v>
      </c>
      <c r="L351" s="41">
        <f>L337+L350</f>
        <v>212738.71999999997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48358.45</v>
      </c>
      <c r="I358" s="18"/>
      <c r="J358" s="18"/>
      <c r="K358" s="18"/>
      <c r="L358" s="19">
        <f>SUM(F358:K358)</f>
        <v>48358.45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89808.55</v>
      </c>
      <c r="I359" s="18"/>
      <c r="J359" s="18"/>
      <c r="K359" s="18"/>
      <c r="L359" s="19">
        <f>SUM(F359:K359)</f>
        <v>89808.55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138167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138167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41.21</v>
      </c>
      <c r="I395" s="18"/>
      <c r="J395" s="24" t="s">
        <v>289</v>
      </c>
      <c r="K395" s="24" t="s">
        <v>289</v>
      </c>
      <c r="L395" s="56">
        <f t="shared" si="26"/>
        <v>41.21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130.74</v>
      </c>
      <c r="I396" s="18"/>
      <c r="J396" s="24" t="s">
        <v>289</v>
      </c>
      <c r="K396" s="24" t="s">
        <v>289</v>
      </c>
      <c r="L396" s="56">
        <f t="shared" si="26"/>
        <v>25130.74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25000</v>
      </c>
      <c r="H398" s="18">
        <v>17.77</v>
      </c>
      <c r="I398" s="18"/>
      <c r="J398" s="24" t="s">
        <v>289</v>
      </c>
      <c r="K398" s="24" t="s">
        <v>289</v>
      </c>
      <c r="L398" s="56">
        <f t="shared" si="26"/>
        <v>25017.77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189.72000000000003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50189.72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189.72000000000003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50189.72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201252.22</v>
      </c>
      <c r="G438" s="18">
        <v>55180.53</v>
      </c>
      <c r="H438" s="18"/>
      <c r="I438" s="56">
        <f t="shared" ref="I438:I444" si="33">SUM(F438:H438)</f>
        <v>256432.75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201252.22</v>
      </c>
      <c r="G445" s="13">
        <f>SUM(G438:G444)</f>
        <v>55180.53</v>
      </c>
      <c r="H445" s="13">
        <f>SUM(H438:H444)</f>
        <v>0</v>
      </c>
      <c r="I445" s="13">
        <f>SUM(I438:I444)</f>
        <v>256432.75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201252.22</v>
      </c>
      <c r="G458" s="18">
        <v>55180.53</v>
      </c>
      <c r="H458" s="18"/>
      <c r="I458" s="56">
        <f t="shared" si="34"/>
        <v>256432.75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201252.22</v>
      </c>
      <c r="G459" s="83">
        <f>SUM(G453:G458)</f>
        <v>55180.53</v>
      </c>
      <c r="H459" s="83">
        <f>SUM(H453:H458)</f>
        <v>0</v>
      </c>
      <c r="I459" s="83">
        <f>SUM(I453:I458)</f>
        <v>256432.75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201252.22</v>
      </c>
      <c r="G460" s="42">
        <f>G451+G459</f>
        <v>55180.53</v>
      </c>
      <c r="H460" s="42">
        <f>H451+H459</f>
        <v>0</v>
      </c>
      <c r="I460" s="42">
        <f>I451+I459</f>
        <v>256432.75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322155.3</v>
      </c>
      <c r="G464" s="18">
        <v>1545.21</v>
      </c>
      <c r="H464" s="18">
        <v>0</v>
      </c>
      <c r="I464" s="18"/>
      <c r="J464" s="18">
        <v>206243.03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6317726.1200000001</v>
      </c>
      <c r="G467" s="18">
        <v>138191.60999999999</v>
      </c>
      <c r="H467" s="18">
        <v>212738.72</v>
      </c>
      <c r="I467" s="18">
        <v>0</v>
      </c>
      <c r="J467" s="18">
        <v>50189.72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6317726.1200000001</v>
      </c>
      <c r="G469" s="53">
        <f>SUM(G467:G468)</f>
        <v>138191.60999999999</v>
      </c>
      <c r="H469" s="53">
        <f>SUM(H467:H468)</f>
        <v>212738.72</v>
      </c>
      <c r="I469" s="53">
        <f>SUM(I467:I468)</f>
        <v>0</v>
      </c>
      <c r="J469" s="53">
        <f>SUM(J467:J468)</f>
        <v>50189.72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6286401.5</v>
      </c>
      <c r="G471" s="18">
        <v>138167</v>
      </c>
      <c r="H471" s="18">
        <v>212738.72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6286401.5</v>
      </c>
      <c r="G473" s="53">
        <f>SUM(G471:G472)</f>
        <v>138167</v>
      </c>
      <c r="H473" s="53">
        <f>SUM(H471:H472)</f>
        <v>212738.72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353479.91999999993</v>
      </c>
      <c r="G475" s="53">
        <f>(G464+G469)- G473</f>
        <v>1569.8199999999779</v>
      </c>
      <c r="H475" s="53">
        <f>(H464+H469)- H473</f>
        <v>0</v>
      </c>
      <c r="I475" s="53">
        <f>(I464+I469)- I473</f>
        <v>0</v>
      </c>
      <c r="J475" s="53">
        <f>(J464+J469)- J473</f>
        <v>256432.75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12948800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10350000</v>
      </c>
      <c r="G494" s="18"/>
      <c r="H494" s="18"/>
      <c r="I494" s="18"/>
      <c r="J494" s="18"/>
      <c r="K494" s="53">
        <f>SUM(F494:J494)</f>
        <v>10350000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650000</v>
      </c>
      <c r="G496" s="18"/>
      <c r="H496" s="18"/>
      <c r="I496" s="18"/>
      <c r="J496" s="18"/>
      <c r="K496" s="53">
        <f t="shared" si="35"/>
        <v>650000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9700000</v>
      </c>
      <c r="G497" s="205"/>
      <c r="H497" s="205"/>
      <c r="I497" s="205"/>
      <c r="J497" s="205"/>
      <c r="K497" s="206">
        <f t="shared" si="35"/>
        <v>9700000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3283575.12</v>
      </c>
      <c r="G498" s="18"/>
      <c r="H498" s="18"/>
      <c r="I498" s="18"/>
      <c r="J498" s="18"/>
      <c r="K498" s="53">
        <f t="shared" si="35"/>
        <v>3283575.12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12983575.120000001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12983575.120000001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650000</v>
      </c>
      <c r="G500" s="205"/>
      <c r="H500" s="205"/>
      <c r="I500" s="205"/>
      <c r="J500" s="205"/>
      <c r="K500" s="206">
        <f t="shared" si="35"/>
        <v>650000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430981.26</v>
      </c>
      <c r="G501" s="18"/>
      <c r="H501" s="18"/>
      <c r="I501" s="18"/>
      <c r="J501" s="18"/>
      <c r="K501" s="53">
        <f t="shared" si="35"/>
        <v>430981.26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1080981.26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1080981.26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10305075.640000001</v>
      </c>
      <c r="G512" s="24" t="s">
        <v>289</v>
      </c>
      <c r="H512" s="18">
        <v>2085797.81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175793.67</v>
      </c>
      <c r="G513" s="24" t="s">
        <v>289</v>
      </c>
      <c r="H513" s="18">
        <v>37671.089999999997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>
        <v>8357400.4100000001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10480869.310000001</v>
      </c>
      <c r="G516" s="42">
        <f>SUM(G510:G515)</f>
        <v>0</v>
      </c>
      <c r="H516" s="42">
        <f>SUM(H510:H515)</f>
        <v>2123468.9</v>
      </c>
      <c r="I516" s="42">
        <f>SUM(I510:I515)</f>
        <v>8357400.4100000001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326833.73</v>
      </c>
      <c r="G521" s="18">
        <v>259704.2</v>
      </c>
      <c r="H521" s="18">
        <v>618.5</v>
      </c>
      <c r="I521" s="18">
        <v>780.72</v>
      </c>
      <c r="J521" s="18">
        <v>306.12</v>
      </c>
      <c r="K521" s="18"/>
      <c r="L521" s="88">
        <f>SUM(F521:K521)</f>
        <v>588243.2699999999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201886.31</v>
      </c>
      <c r="G522" s="18">
        <v>144687.71</v>
      </c>
      <c r="H522" s="18">
        <v>244922.45</v>
      </c>
      <c r="I522" s="18">
        <v>3265.8</v>
      </c>
      <c r="J522" s="18">
        <v>6072.64</v>
      </c>
      <c r="K522" s="18"/>
      <c r="L522" s="88">
        <f>SUM(F522:K522)</f>
        <v>600834.91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528720.04</v>
      </c>
      <c r="G523" s="108">
        <f t="shared" ref="G523:L523" si="36">SUM(G520:G522)</f>
        <v>404391.91000000003</v>
      </c>
      <c r="H523" s="108">
        <f t="shared" si="36"/>
        <v>245540.95</v>
      </c>
      <c r="I523" s="108">
        <f t="shared" si="36"/>
        <v>4046.5200000000004</v>
      </c>
      <c r="J523" s="108">
        <f t="shared" si="36"/>
        <v>6378.76</v>
      </c>
      <c r="K523" s="108">
        <f t="shared" si="36"/>
        <v>0</v>
      </c>
      <c r="L523" s="89">
        <f t="shared" si="36"/>
        <v>1189078.18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37110.910000000003</v>
      </c>
      <c r="I526" s="18"/>
      <c r="J526" s="18"/>
      <c r="K526" s="18"/>
      <c r="L526" s="88">
        <f>SUM(F526:K526)</f>
        <v>37110.910000000003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59793.16</v>
      </c>
      <c r="I527" s="18"/>
      <c r="J527" s="18"/>
      <c r="K527" s="18"/>
      <c r="L527" s="88">
        <f>SUM(F527:K527)</f>
        <v>59793.16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96904.07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96904.07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259.63</v>
      </c>
      <c r="I541" s="18"/>
      <c r="J541" s="18"/>
      <c r="K541" s="18"/>
      <c r="L541" s="88">
        <f>SUM(F541:K541)</f>
        <v>259.63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3992.6</v>
      </c>
      <c r="I542" s="18"/>
      <c r="J542" s="18"/>
      <c r="K542" s="18"/>
      <c r="L542" s="88">
        <f>SUM(F542:K542)</f>
        <v>3992.6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4252.2299999999996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4252.2299999999996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528720.04</v>
      </c>
      <c r="G544" s="89">
        <f t="shared" ref="G544:L544" si="41">G523+G528+G533+G538+G543</f>
        <v>404391.91000000003</v>
      </c>
      <c r="H544" s="89">
        <f t="shared" si="41"/>
        <v>346697.25</v>
      </c>
      <c r="I544" s="89">
        <f t="shared" si="41"/>
        <v>4046.5200000000004</v>
      </c>
      <c r="J544" s="89">
        <f t="shared" si="41"/>
        <v>6378.76</v>
      </c>
      <c r="K544" s="89">
        <f t="shared" si="41"/>
        <v>0</v>
      </c>
      <c r="L544" s="89">
        <f t="shared" si="41"/>
        <v>1290234.48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588243.2699999999</v>
      </c>
      <c r="G549" s="87">
        <f>L526</f>
        <v>37110.910000000003</v>
      </c>
      <c r="H549" s="87">
        <f>L531</f>
        <v>0</v>
      </c>
      <c r="I549" s="87">
        <f>L536</f>
        <v>0</v>
      </c>
      <c r="J549" s="87">
        <f>L541</f>
        <v>259.63</v>
      </c>
      <c r="K549" s="87">
        <f>SUM(F549:J549)</f>
        <v>625613.80999999994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600834.91</v>
      </c>
      <c r="G550" s="87">
        <f>L527</f>
        <v>59793.16</v>
      </c>
      <c r="H550" s="87">
        <f>L532</f>
        <v>0</v>
      </c>
      <c r="I550" s="87">
        <f>L537</f>
        <v>0</v>
      </c>
      <c r="J550" s="87">
        <f>L542</f>
        <v>3992.6</v>
      </c>
      <c r="K550" s="87">
        <f>SUM(F550:J550)</f>
        <v>664620.67000000004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1189078.18</v>
      </c>
      <c r="G551" s="89">
        <f t="shared" si="42"/>
        <v>96904.07</v>
      </c>
      <c r="H551" s="89">
        <f t="shared" si="42"/>
        <v>0</v>
      </c>
      <c r="I551" s="89">
        <f t="shared" si="42"/>
        <v>0</v>
      </c>
      <c r="J551" s="89">
        <f t="shared" si="42"/>
        <v>4252.2299999999996</v>
      </c>
      <c r="K551" s="89">
        <f t="shared" si="42"/>
        <v>1290234.48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>
        <v>2531.63</v>
      </c>
      <c r="J567" s="18"/>
      <c r="K567" s="18"/>
      <c r="L567" s="88">
        <f>SUM(F567:K567)</f>
        <v>2531.63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>
        <v>3773.04</v>
      </c>
      <c r="J568" s="18"/>
      <c r="K568" s="18"/>
      <c r="L568" s="88">
        <f>SUM(F568:K568)</f>
        <v>3773.04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6304.67</v>
      </c>
      <c r="J569" s="194">
        <f t="shared" si="45"/>
        <v>0</v>
      </c>
      <c r="K569" s="194">
        <f t="shared" si="45"/>
        <v>0</v>
      </c>
      <c r="L569" s="194">
        <f t="shared" si="45"/>
        <v>6304.67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6304.67</v>
      </c>
      <c r="J570" s="89">
        <f t="shared" si="46"/>
        <v>0</v>
      </c>
      <c r="K570" s="89">
        <f t="shared" si="46"/>
        <v>0</v>
      </c>
      <c r="L570" s="89">
        <f t="shared" si="46"/>
        <v>6304.67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158468.9</v>
      </c>
      <c r="I581" s="87">
        <f t="shared" si="47"/>
        <v>158468.9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44679.38</v>
      </c>
      <c r="I582" s="87">
        <f t="shared" si="47"/>
        <v>44679.38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26665.84</v>
      </c>
      <c r="I583" s="87">
        <f t="shared" si="47"/>
        <v>26665.84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/>
      <c r="K590" s="104">
        <f t="shared" ref="K590:K596" si="48">SUM(H590:J590)</f>
        <v>0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259.63</v>
      </c>
      <c r="J591" s="18">
        <v>3992.6</v>
      </c>
      <c r="K591" s="104">
        <f t="shared" si="48"/>
        <v>4252.2299999999996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27979.81</v>
      </c>
      <c r="K592" s="104">
        <f t="shared" si="48"/>
        <v>27979.81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14451.9</v>
      </c>
      <c r="J593" s="18">
        <v>26839.35</v>
      </c>
      <c r="K593" s="104">
        <f t="shared" si="48"/>
        <v>41291.25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4654.54</v>
      </c>
      <c r="J594" s="18">
        <v>12265.37</v>
      </c>
      <c r="K594" s="104">
        <f t="shared" si="48"/>
        <v>16919.91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19366.07</v>
      </c>
      <c r="J597" s="108">
        <f>SUM(J590:J596)</f>
        <v>71077.12999999999</v>
      </c>
      <c r="K597" s="108">
        <f>SUM(K590:K596)</f>
        <v>90443.200000000012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>
        <v>19593.59</v>
      </c>
      <c r="J603" s="18">
        <v>41902.31</v>
      </c>
      <c r="K603" s="104">
        <f>SUM(H603:J603)</f>
        <v>61495.899999999994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19593.59</v>
      </c>
      <c r="J604" s="108">
        <f>SUM(J601:J603)</f>
        <v>41902.31</v>
      </c>
      <c r="K604" s="108">
        <f>SUM(K601:K603)</f>
        <v>61495.899999999994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23719.53</v>
      </c>
      <c r="G611" s="18">
        <v>4449.13</v>
      </c>
      <c r="H611" s="18">
        <v>3810.73</v>
      </c>
      <c r="I611" s="18"/>
      <c r="J611" s="18"/>
      <c r="K611" s="18"/>
      <c r="L611" s="88">
        <f>SUM(F611:K611)</f>
        <v>31979.39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4950</v>
      </c>
      <c r="G612" s="18">
        <v>873.81</v>
      </c>
      <c r="H612" s="18"/>
      <c r="I612" s="18"/>
      <c r="J612" s="18"/>
      <c r="K612" s="18"/>
      <c r="L612" s="88">
        <f>SUM(F612:K612)</f>
        <v>5823.8099999999995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28669.53</v>
      </c>
      <c r="G613" s="108">
        <f t="shared" si="49"/>
        <v>5322.9400000000005</v>
      </c>
      <c r="H613" s="108">
        <f t="shared" si="49"/>
        <v>3810.73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37803.199999999997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414868.38999999996</v>
      </c>
      <c r="H616" s="109">
        <f>SUM(F51)</f>
        <v>414868.39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1720.8199999999997</v>
      </c>
      <c r="H617" s="109">
        <f>SUM(G51)</f>
        <v>1720.82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140</v>
      </c>
      <c r="H618" s="109">
        <f>SUM(H51)</f>
        <v>140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256432.75</v>
      </c>
      <c r="H620" s="109">
        <f>SUM(J51)</f>
        <v>256432.75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353479.92</v>
      </c>
      <c r="H621" s="109">
        <f>F475</f>
        <v>353479.91999999993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1569.82</v>
      </c>
      <c r="H622" s="109">
        <f>G475</f>
        <v>1569.8199999999779</v>
      </c>
      <c r="I622" s="121" t="s">
        <v>102</v>
      </c>
      <c r="J622" s="109">
        <f t="shared" si="50"/>
        <v>2.205524651799351E-11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256432.75</v>
      </c>
      <c r="H625" s="109">
        <f>J475</f>
        <v>256432.75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6317726.1200000001</v>
      </c>
      <c r="H626" s="104">
        <f>SUM(F467)</f>
        <v>6317726.1200000001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138191.60999999999</v>
      </c>
      <c r="H627" s="104">
        <f>SUM(G467)</f>
        <v>138191.60999999999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212738.72</v>
      </c>
      <c r="H628" s="104">
        <f>SUM(H467)</f>
        <v>212738.72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50189.72</v>
      </c>
      <c r="H630" s="104">
        <f>SUM(J467)</f>
        <v>50189.72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6286401.5</v>
      </c>
      <c r="H631" s="104">
        <f>SUM(F471)</f>
        <v>6286401.5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212738.71999999997</v>
      </c>
      <c r="H632" s="104">
        <f>SUM(H471)</f>
        <v>212738.72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138167</v>
      </c>
      <c r="H634" s="104">
        <f>SUM(G471)</f>
        <v>138167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50189.72</v>
      </c>
      <c r="H636" s="164">
        <f>SUM(J467)</f>
        <v>50189.72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201252.22</v>
      </c>
      <c r="H638" s="104">
        <f>SUM(F460)</f>
        <v>201252.22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55180.53</v>
      </c>
      <c r="H639" s="104">
        <f>SUM(G460)</f>
        <v>55180.53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256432.75</v>
      </c>
      <c r="H641" s="104">
        <f>SUM(I460)</f>
        <v>256432.75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189.72</v>
      </c>
      <c r="H643" s="104">
        <f>H407</f>
        <v>189.72000000000003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50189.72</v>
      </c>
      <c r="H645" s="104">
        <f>L407</f>
        <v>50189.72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90443.200000000012</v>
      </c>
      <c r="H646" s="104">
        <f>L207+L225+L243</f>
        <v>90443.199999999983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61495.899999999994</v>
      </c>
      <c r="H647" s="104">
        <f>(J256+J337)-(J254+J335)</f>
        <v>61495.9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19366.07</v>
      </c>
      <c r="H649" s="104">
        <f>I597</f>
        <v>19366.07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71077.12999999999</v>
      </c>
      <c r="H650" s="104">
        <f>J597</f>
        <v>71077.12999999999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2027634.6699999997</v>
      </c>
      <c r="H659" s="19">
        <f>(L246+L327+L359)</f>
        <v>3424799.6099999994</v>
      </c>
      <c r="I659" s="19">
        <f>SUM(F659:H659)</f>
        <v>5452434.2799999993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33194.265999999996</v>
      </c>
      <c r="H660" s="19">
        <f>(L359/IF(SUM(L357:L359)=0,1,SUM(L357:L359))*(SUM(G96:G109)))</f>
        <v>61646.493999999999</v>
      </c>
      <c r="I660" s="19">
        <f>SUM(F660:H660)</f>
        <v>94840.76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19366.07</v>
      </c>
      <c r="H661" s="19">
        <f>(L243+L324)-(J243+J324)</f>
        <v>71077.12999999999</v>
      </c>
      <c r="I661" s="19">
        <f>SUM(F661:H661)</f>
        <v>90443.199999999983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0</v>
      </c>
      <c r="G662" s="200">
        <f>SUM(G574:G586)+SUM(I601:I603)+L611</f>
        <v>51572.979999999996</v>
      </c>
      <c r="H662" s="200">
        <f>SUM(H574:H586)+SUM(J601:J603)+L612</f>
        <v>277540.24</v>
      </c>
      <c r="I662" s="19">
        <f>SUM(F662:H662)</f>
        <v>329113.21999999997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1923501.3539999998</v>
      </c>
      <c r="H663" s="19">
        <f>H659-SUM(H660:H662)</f>
        <v>3014535.7459999993</v>
      </c>
      <c r="I663" s="19">
        <f>I659-SUM(I660:I662)</f>
        <v>4938037.0999999996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>
        <v>88.96</v>
      </c>
      <c r="H664" s="249">
        <v>177.45</v>
      </c>
      <c r="I664" s="19">
        <f>SUM(F664:H664)</f>
        <v>266.40999999999997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>
        <f>ROUND(G663/G664,2)</f>
        <v>21622.09</v>
      </c>
      <c r="H666" s="19">
        <f>ROUND(H663/H664,2)</f>
        <v>16988.09</v>
      </c>
      <c r="I666" s="19">
        <f>ROUND(I663/I664,2)</f>
        <v>18535.48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-4.0999999999999996</v>
      </c>
      <c r="I669" s="19">
        <f>SUM(F669:H669)</f>
        <v>-4.0999999999999996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>
        <f>ROUND((G663+G668)/(G664+G669),2)</f>
        <v>21622.09</v>
      </c>
      <c r="H671" s="19">
        <f>ROUND((H663+H668)/(H664+H669),2)</f>
        <v>17389.88</v>
      </c>
      <c r="I671" s="19">
        <f>ROUND((I663+I668)/(I664+I669),2)</f>
        <v>18825.2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PROFILE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1241910.8900000001</v>
      </c>
      <c r="C9" s="230">
        <f>'DOE25'!G196+'DOE25'!G214+'DOE25'!G232+'DOE25'!G275+'DOE25'!G294+'DOE25'!G313</f>
        <v>555587.54</v>
      </c>
    </row>
    <row r="10" spans="1:3" x14ac:dyDescent="0.2">
      <c r="A10" t="s">
        <v>779</v>
      </c>
      <c r="B10" s="241">
        <v>1195288.0900000001</v>
      </c>
      <c r="C10" s="241">
        <v>542936.79</v>
      </c>
    </row>
    <row r="11" spans="1:3" x14ac:dyDescent="0.2">
      <c r="A11" t="s">
        <v>780</v>
      </c>
      <c r="B11" s="241">
        <v>24321.54</v>
      </c>
      <c r="C11" s="241">
        <v>10944.7</v>
      </c>
    </row>
    <row r="12" spans="1:3" x14ac:dyDescent="0.2">
      <c r="A12" t="s">
        <v>781</v>
      </c>
      <c r="B12" s="241">
        <v>22301.26</v>
      </c>
      <c r="C12" s="241">
        <v>1706.05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1241910.8900000001</v>
      </c>
      <c r="C13" s="232">
        <f>SUM(C10:C12)</f>
        <v>555587.54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528720.04</v>
      </c>
      <c r="C18" s="230">
        <f>'DOE25'!G197+'DOE25'!G215+'DOE25'!G233+'DOE25'!G276+'DOE25'!G295+'DOE25'!G314</f>
        <v>404391.91000000003</v>
      </c>
    </row>
    <row r="19" spans="1:3" x14ac:dyDescent="0.2">
      <c r="A19" t="s">
        <v>779</v>
      </c>
      <c r="B19" s="241">
        <v>203668.78</v>
      </c>
      <c r="C19" s="241">
        <v>94813.91</v>
      </c>
    </row>
    <row r="20" spans="1:3" x14ac:dyDescent="0.2">
      <c r="A20" t="s">
        <v>780</v>
      </c>
      <c r="B20" s="241">
        <v>325051.26</v>
      </c>
      <c r="C20" s="241">
        <v>309578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528720.04</v>
      </c>
      <c r="C22" s="232">
        <f>SUM(C19:C21)</f>
        <v>404391.91000000003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103566.04</v>
      </c>
      <c r="C27" s="235">
        <f>'DOE25'!G198+'DOE25'!G216+'DOE25'!G234+'DOE25'!G277+'DOE25'!G296+'DOE25'!G315</f>
        <v>54492.160000000003</v>
      </c>
    </row>
    <row r="28" spans="1:3" x14ac:dyDescent="0.2">
      <c r="A28" t="s">
        <v>779</v>
      </c>
      <c r="B28" s="241">
        <v>103566.04</v>
      </c>
      <c r="C28" s="241">
        <v>54492.160000000003</v>
      </c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103566.04</v>
      </c>
      <c r="C31" s="232">
        <f>SUM(C28:C30)</f>
        <v>54492.160000000003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93949.5</v>
      </c>
      <c r="C36" s="236">
        <f>'DOE25'!G199+'DOE25'!G217+'DOE25'!G235+'DOE25'!G278+'DOE25'!G297+'DOE25'!G316</f>
        <v>14739.56</v>
      </c>
    </row>
    <row r="37" spans="1:3" x14ac:dyDescent="0.2">
      <c r="A37" t="s">
        <v>779</v>
      </c>
      <c r="B37" s="241">
        <v>54352</v>
      </c>
      <c r="C37" s="241">
        <v>9537.74</v>
      </c>
    </row>
    <row r="38" spans="1:3" x14ac:dyDescent="0.2">
      <c r="A38" t="s">
        <v>780</v>
      </c>
      <c r="B38" s="241">
        <v>14765</v>
      </c>
      <c r="C38" s="241">
        <v>3302.13</v>
      </c>
    </row>
    <row r="39" spans="1:3" x14ac:dyDescent="0.2">
      <c r="A39" t="s">
        <v>781</v>
      </c>
      <c r="B39" s="241">
        <v>24832.5</v>
      </c>
      <c r="C39" s="241">
        <v>1899.69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93949.5</v>
      </c>
      <c r="C40" s="232">
        <f>SUM(C37:C39)</f>
        <v>14739.56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PROFILE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3351783.34</v>
      </c>
      <c r="D5" s="20">
        <f>SUM('DOE25'!L196:L199)+SUM('DOE25'!L214:L217)+SUM('DOE25'!L232:L235)-F5-G5</f>
        <v>3300588.56</v>
      </c>
      <c r="E5" s="244"/>
      <c r="F5" s="256">
        <f>SUM('DOE25'!J196:J199)+SUM('DOE25'!J214:J217)+SUM('DOE25'!J232:J235)</f>
        <v>37056.839999999997</v>
      </c>
      <c r="G5" s="53">
        <f>SUM('DOE25'!K196:K199)+SUM('DOE25'!K214:K217)+SUM('DOE25'!K232:K235)</f>
        <v>14137.939999999999</v>
      </c>
      <c r="H5" s="260"/>
    </row>
    <row r="6" spans="1:9" x14ac:dyDescent="0.2">
      <c r="A6" s="32">
        <v>2100</v>
      </c>
      <c r="B6" t="s">
        <v>801</v>
      </c>
      <c r="C6" s="246">
        <f t="shared" si="0"/>
        <v>274231.71000000002</v>
      </c>
      <c r="D6" s="20">
        <f>'DOE25'!L201+'DOE25'!L219+'DOE25'!L237-F6-G6</f>
        <v>272831.72000000003</v>
      </c>
      <c r="E6" s="244"/>
      <c r="F6" s="256">
        <f>'DOE25'!J201+'DOE25'!J219+'DOE25'!J237</f>
        <v>1399.99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212194.73000000004</v>
      </c>
      <c r="D7" s="20">
        <f>'DOE25'!L202+'DOE25'!L220+'DOE25'!L238-F7-G7</f>
        <v>180634.55000000005</v>
      </c>
      <c r="E7" s="244"/>
      <c r="F7" s="256">
        <f>'DOE25'!J202+'DOE25'!J220+'DOE25'!J238</f>
        <v>2373.16</v>
      </c>
      <c r="G7" s="53">
        <f>'DOE25'!K202+'DOE25'!K220+'DOE25'!K238</f>
        <v>29187.02</v>
      </c>
      <c r="H7" s="260"/>
    </row>
    <row r="8" spans="1:9" x14ac:dyDescent="0.2">
      <c r="A8" s="32">
        <v>2300</v>
      </c>
      <c r="B8" t="s">
        <v>802</v>
      </c>
      <c r="C8" s="246">
        <f t="shared" si="0"/>
        <v>196975.12</v>
      </c>
      <c r="D8" s="244"/>
      <c r="E8" s="20">
        <f>'DOE25'!L203+'DOE25'!L221+'DOE25'!L239-F8-G8-D9-D11</f>
        <v>183208.16</v>
      </c>
      <c r="F8" s="256">
        <f>'DOE25'!J203+'DOE25'!J221+'DOE25'!J239</f>
        <v>0</v>
      </c>
      <c r="G8" s="53">
        <f>'DOE25'!K203+'DOE25'!K221+'DOE25'!K239</f>
        <v>13766.96</v>
      </c>
      <c r="H8" s="260"/>
    </row>
    <row r="9" spans="1:9" x14ac:dyDescent="0.2">
      <c r="A9" s="32">
        <v>2310</v>
      </c>
      <c r="B9" t="s">
        <v>818</v>
      </c>
      <c r="C9" s="246">
        <f t="shared" si="0"/>
        <v>81266.25</v>
      </c>
      <c r="D9" s="245">
        <v>81266.25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9514</v>
      </c>
      <c r="D10" s="244"/>
      <c r="E10" s="245">
        <v>9514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49144.78</v>
      </c>
      <c r="D11" s="245">
        <v>49144.78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370693.99</v>
      </c>
      <c r="D12" s="20">
        <f>'DOE25'!L204+'DOE25'!L222+'DOE25'!L240-F12-G12</f>
        <v>365636.16</v>
      </c>
      <c r="E12" s="244"/>
      <c r="F12" s="256">
        <f>'DOE25'!J204+'DOE25'!J222+'DOE25'!J240</f>
        <v>0</v>
      </c>
      <c r="G12" s="53">
        <f>'DOE25'!K204+'DOE25'!K222+'DOE25'!K240</f>
        <v>5057.83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474795.44000000006</v>
      </c>
      <c r="D14" s="20">
        <f>'DOE25'!L206+'DOE25'!L224+'DOE25'!L242-F14-G14</f>
        <v>466021.14000000007</v>
      </c>
      <c r="E14" s="244"/>
      <c r="F14" s="256">
        <f>'DOE25'!J206+'DOE25'!J224+'DOE25'!J242</f>
        <v>8774.2999999999993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90443.199999999983</v>
      </c>
      <c r="D15" s="20">
        <f>'DOE25'!L207+'DOE25'!L225+'DOE25'!L243-F15-G15</f>
        <v>90443.199999999983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1113481.26</v>
      </c>
      <c r="D25" s="244"/>
      <c r="E25" s="244"/>
      <c r="F25" s="259"/>
      <c r="G25" s="257"/>
      <c r="H25" s="258">
        <f>'DOE25'!L259+'DOE25'!L260+'DOE25'!L340+'DOE25'!L341</f>
        <v>1113481.26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138167</v>
      </c>
      <c r="D29" s="20">
        <f>'DOE25'!L357+'DOE25'!L358+'DOE25'!L359-'DOE25'!I366-F29-G29</f>
        <v>138167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212738.71999999997</v>
      </c>
      <c r="D31" s="20">
        <f>'DOE25'!L289+'DOE25'!L308+'DOE25'!L327+'DOE25'!L332+'DOE25'!L333+'DOE25'!L334-F31-G31</f>
        <v>192348.79999999999</v>
      </c>
      <c r="E31" s="244"/>
      <c r="F31" s="256">
        <f>'DOE25'!J289+'DOE25'!J308+'DOE25'!J327+'DOE25'!J332+'DOE25'!J333+'DOE25'!J334</f>
        <v>11891.61</v>
      </c>
      <c r="G31" s="53">
        <f>'DOE25'!K289+'DOE25'!K308+'DOE25'!K327+'DOE25'!K332+'DOE25'!K333+'DOE25'!K334</f>
        <v>8498.31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5137082.1599999992</v>
      </c>
      <c r="E33" s="247">
        <f>SUM(E5:E31)</f>
        <v>192722.16</v>
      </c>
      <c r="F33" s="247">
        <f>SUM(F5:F31)</f>
        <v>61495.899999999994</v>
      </c>
      <c r="G33" s="247">
        <f>SUM(G5:G31)</f>
        <v>70648.06</v>
      </c>
      <c r="H33" s="247">
        <f>SUM(H5:H31)</f>
        <v>1113481.26</v>
      </c>
    </row>
    <row r="35" spans="2:8" ht="12" thickBot="1" x14ac:dyDescent="0.25">
      <c r="B35" s="254" t="s">
        <v>847</v>
      </c>
      <c r="D35" s="255">
        <f>E33</f>
        <v>192722.16</v>
      </c>
      <c r="E35" s="250"/>
    </row>
    <row r="36" spans="2:8" ht="12" thickTop="1" x14ac:dyDescent="0.2">
      <c r="B36" t="s">
        <v>815</v>
      </c>
      <c r="D36" s="20">
        <f>D33</f>
        <v>5137082.1599999992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413653.48</v>
      </c>
      <c r="D8" s="95">
        <f>'DOE25'!G9</f>
        <v>-5315.35</v>
      </c>
      <c r="E8" s="95">
        <f>'DOE25'!H9</f>
        <v>-61335.71</v>
      </c>
      <c r="F8" s="95">
        <f>'DOE25'!I9</f>
        <v>0</v>
      </c>
      <c r="G8" s="95">
        <f>'DOE25'!J9</f>
        <v>256432.75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150.25</v>
      </c>
      <c r="D12" s="95">
        <f>'DOE25'!G13</f>
        <v>7036.17</v>
      </c>
      <c r="E12" s="95">
        <f>'DOE25'!H13</f>
        <v>61475.71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1064.6600000000001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414868.38999999996</v>
      </c>
      <c r="D18" s="41">
        <f>SUM(D8:D17)</f>
        <v>1720.8199999999997</v>
      </c>
      <c r="E18" s="41">
        <f>SUM(E8:E17)</f>
        <v>140</v>
      </c>
      <c r="F18" s="41">
        <f>SUM(F8:F17)</f>
        <v>0</v>
      </c>
      <c r="G18" s="41">
        <f>SUM(G8:G17)</f>
        <v>256432.75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151</v>
      </c>
      <c r="E23" s="95">
        <f>'DOE25'!H24</f>
        <v>140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61388.47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61388.47</v>
      </c>
      <c r="D31" s="41">
        <f>SUM(D21:D30)</f>
        <v>151</v>
      </c>
      <c r="E31" s="41">
        <f>SUM(E21:E30)</f>
        <v>140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1569.82</v>
      </c>
      <c r="E46" s="95">
        <f>'DOE25'!H47</f>
        <v>0</v>
      </c>
      <c r="F46" s="95">
        <f>'DOE25'!I47</f>
        <v>0</v>
      </c>
      <c r="G46" s="95">
        <f>'DOE25'!J47</f>
        <v>256432.75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328479.92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353479.92</v>
      </c>
      <c r="D49" s="41">
        <f>SUM(D34:D48)</f>
        <v>1569.82</v>
      </c>
      <c r="E49" s="41">
        <f>SUM(E34:E48)</f>
        <v>0</v>
      </c>
      <c r="F49" s="41">
        <f>SUM(F34:F48)</f>
        <v>0</v>
      </c>
      <c r="G49" s="41">
        <f>SUM(G34:G48)</f>
        <v>256432.75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414868.39</v>
      </c>
      <c r="D50" s="41">
        <f>D49+D31</f>
        <v>1720.82</v>
      </c>
      <c r="E50" s="41">
        <f>E49+E31</f>
        <v>140</v>
      </c>
      <c r="F50" s="41">
        <f>F49+F31</f>
        <v>0</v>
      </c>
      <c r="G50" s="41">
        <f>G49+G31</f>
        <v>256432.75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4210357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15800.54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612.61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189.72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94840.76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42749.33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59162.48</v>
      </c>
      <c r="D61" s="130">
        <f>SUM(D56:D60)</f>
        <v>94840.76</v>
      </c>
      <c r="E61" s="130">
        <f>SUM(E56:E60)</f>
        <v>0</v>
      </c>
      <c r="F61" s="130">
        <f>SUM(F56:F60)</f>
        <v>0</v>
      </c>
      <c r="G61" s="130">
        <f>SUM(G56:G60)</f>
        <v>189.72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4269519.4800000004</v>
      </c>
      <c r="D62" s="22">
        <f>D55+D61</f>
        <v>94840.76</v>
      </c>
      <c r="E62" s="22">
        <f>E55+E61</f>
        <v>0</v>
      </c>
      <c r="F62" s="22">
        <f>F55+F61</f>
        <v>0</v>
      </c>
      <c r="G62" s="22">
        <f>G55+G61</f>
        <v>189.72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670503.05000000005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915337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580.95000000000005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1586421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356030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35674.03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1222.8499999999999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1087.03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392926.88</v>
      </c>
      <c r="D77" s="130">
        <f>SUM(D71:D76)</f>
        <v>1087.03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1979347.88</v>
      </c>
      <c r="D80" s="130">
        <f>SUM(D78:D79)+D77+D69</f>
        <v>1087.03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32700.47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68173.39</v>
      </c>
      <c r="D87" s="95">
        <f>SUM('DOE25'!G152:G160)</f>
        <v>42263.82</v>
      </c>
      <c r="E87" s="95">
        <f>SUM('DOE25'!H152:H160)</f>
        <v>180038.25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685.37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68858.759999999995</v>
      </c>
      <c r="D90" s="131">
        <f>SUM(D84:D89)</f>
        <v>42263.82</v>
      </c>
      <c r="E90" s="131">
        <f>SUM(E84:E89)</f>
        <v>212738.72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6317726.1200000001</v>
      </c>
      <c r="D103" s="86">
        <f>D62+D80+D90+D102</f>
        <v>138191.60999999999</v>
      </c>
      <c r="E103" s="86">
        <f>E62+E80+E90+E102</f>
        <v>212738.72</v>
      </c>
      <c r="F103" s="86">
        <f>F62+F80+F90+F102</f>
        <v>0</v>
      </c>
      <c r="G103" s="86">
        <f>G62+G80+G102</f>
        <v>50189.72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1906638.33</v>
      </c>
      <c r="D108" s="24" t="s">
        <v>289</v>
      </c>
      <c r="E108" s="95">
        <f>('DOE25'!L275)+('DOE25'!L294)+('DOE25'!L313)</f>
        <v>31896.760000000002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1083939.49</v>
      </c>
      <c r="D109" s="24" t="s">
        <v>289</v>
      </c>
      <c r="E109" s="95">
        <f>('DOE25'!L276)+('DOE25'!L295)+('DOE25'!L314)</f>
        <v>111443.36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196397.05999999997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164808.46</v>
      </c>
      <c r="D111" s="24" t="s">
        <v>289</v>
      </c>
      <c r="E111" s="95">
        <f>+('DOE25'!L278)+('DOE25'!L297)+('DOE25'!L316)</f>
        <v>3470.1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3351783.3400000003</v>
      </c>
      <c r="D114" s="86">
        <f>SUM(D108:D113)</f>
        <v>0</v>
      </c>
      <c r="E114" s="86">
        <f>SUM(E108:E113)</f>
        <v>146810.22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274231.71000000002</v>
      </c>
      <c r="D117" s="24" t="s">
        <v>289</v>
      </c>
      <c r="E117" s="95">
        <f>+('DOE25'!L280)+('DOE25'!L299)+('DOE25'!L318)</f>
        <v>32700.479999999996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212194.73000000004</v>
      </c>
      <c r="D118" s="24" t="s">
        <v>289</v>
      </c>
      <c r="E118" s="95">
        <f>+('DOE25'!L281)+('DOE25'!L300)+('DOE25'!L319)</f>
        <v>24729.71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327386.15000000002</v>
      </c>
      <c r="D119" s="24" t="s">
        <v>289</v>
      </c>
      <c r="E119" s="95">
        <f>+('DOE25'!L282)+('DOE25'!L301)+('DOE25'!L320)</f>
        <v>8498.31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370693.99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474795.44000000006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90443.199999999983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138167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1749745.22</v>
      </c>
      <c r="D127" s="86">
        <f>SUM(D117:D126)</f>
        <v>138167</v>
      </c>
      <c r="E127" s="86">
        <f>SUM(E117:E126)</f>
        <v>65928.5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650000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463481.26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50189.72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-189.72000000000116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21391.68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1184872.94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6286401.5</v>
      </c>
      <c r="D144" s="86">
        <f>(D114+D127+D143)</f>
        <v>138167</v>
      </c>
      <c r="E144" s="86">
        <f>(E114+E127+E143)</f>
        <v>212738.72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01/07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01/27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12948800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10350000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10350000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650000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650000</v>
      </c>
    </row>
    <row r="158" spans="1:9" x14ac:dyDescent="0.2">
      <c r="A158" s="22" t="s">
        <v>35</v>
      </c>
      <c r="B158" s="137">
        <f>'DOE25'!F497</f>
        <v>9700000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9700000</v>
      </c>
    </row>
    <row r="159" spans="1:9" x14ac:dyDescent="0.2">
      <c r="A159" s="22" t="s">
        <v>36</v>
      </c>
      <c r="B159" s="137">
        <f>'DOE25'!F498</f>
        <v>3283575.12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3283575.12</v>
      </c>
    </row>
    <row r="160" spans="1:9" x14ac:dyDescent="0.2">
      <c r="A160" s="22" t="s">
        <v>37</v>
      </c>
      <c r="B160" s="137">
        <f>'DOE25'!F499</f>
        <v>12983575.120000001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12983575.120000001</v>
      </c>
    </row>
    <row r="161" spans="1:7" x14ac:dyDescent="0.2">
      <c r="A161" s="22" t="s">
        <v>38</v>
      </c>
      <c r="B161" s="137">
        <f>'DOE25'!F500</f>
        <v>650000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650000</v>
      </c>
    </row>
    <row r="162" spans="1:7" x14ac:dyDescent="0.2">
      <c r="A162" s="22" t="s">
        <v>39</v>
      </c>
      <c r="B162" s="137">
        <f>'DOE25'!F501</f>
        <v>430981.26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430981.26</v>
      </c>
    </row>
    <row r="163" spans="1:7" x14ac:dyDescent="0.2">
      <c r="A163" s="22" t="s">
        <v>246</v>
      </c>
      <c r="B163" s="137">
        <f>'DOE25'!F502</f>
        <v>1080981.26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1080981.26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PROFILE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21622</v>
      </c>
    </row>
    <row r="6" spans="1:4" x14ac:dyDescent="0.2">
      <c r="B6" t="s">
        <v>62</v>
      </c>
      <c r="C6" s="179">
        <f>IF('DOE25'!H664+'DOE25'!H669=0,0,ROUND('DOE25'!H671,0))</f>
        <v>17390</v>
      </c>
    </row>
    <row r="7" spans="1:4" x14ac:dyDescent="0.2">
      <c r="B7" t="s">
        <v>705</v>
      </c>
      <c r="C7" s="179">
        <f>IF('DOE25'!I664+'DOE25'!I669=0,0,ROUND('DOE25'!I671,0))</f>
        <v>18825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1938535</v>
      </c>
      <c r="D10" s="182">
        <f>ROUND((C10/$C$28)*100,1)</f>
        <v>33.200000000000003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1195383</v>
      </c>
      <c r="D11" s="182">
        <f>ROUND((C11/$C$28)*100,1)</f>
        <v>20.5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196397</v>
      </c>
      <c r="D12" s="182">
        <f>ROUND((C12/$C$28)*100,1)</f>
        <v>3.4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168279</v>
      </c>
      <c r="D13" s="182">
        <f>ROUND((C13/$C$28)*100,1)</f>
        <v>2.9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306932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236924</v>
      </c>
      <c r="D16" s="182">
        <f t="shared" si="0"/>
        <v>4.0999999999999996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335884</v>
      </c>
      <c r="D17" s="182">
        <f t="shared" si="0"/>
        <v>5.7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370694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474795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90443</v>
      </c>
      <c r="D21" s="182">
        <f t="shared" si="0"/>
        <v>1.5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463481</v>
      </c>
      <c r="D25" s="182">
        <f t="shared" si="0"/>
        <v>7.9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21391.68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43326.240000000005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5842464.9199999999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5842464.9199999999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650000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4210357</v>
      </c>
      <c r="D35" s="182">
        <f t="shared" ref="D35:D40" si="1">ROUND((C35/$C$41)*100,1)</f>
        <v>64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59352.200000000186</v>
      </c>
      <c r="D36" s="182">
        <f t="shared" si="1"/>
        <v>0.9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1586421</v>
      </c>
      <c r="D37" s="182">
        <f t="shared" si="1"/>
        <v>24.1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394014</v>
      </c>
      <c r="D38" s="182">
        <f t="shared" si="1"/>
        <v>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323861</v>
      </c>
      <c r="D39" s="182">
        <f t="shared" si="1"/>
        <v>4.9000000000000004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6574005.2000000002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PROFILE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2012-08-23T13:02:21Z</cp:lastPrinted>
  <dcterms:created xsi:type="dcterms:W3CDTF">1997-12-04T19:04:30Z</dcterms:created>
  <dcterms:modified xsi:type="dcterms:W3CDTF">2012-11-21T15:23:00Z</dcterms:modified>
</cp:coreProperties>
</file>