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522" i="1" l="1"/>
  <c r="H521" i="1"/>
  <c r="H520" i="1"/>
  <c r="H197" i="1"/>
  <c r="H215" i="1"/>
  <c r="H233" i="1"/>
  <c r="H238" i="1"/>
  <c r="H220" i="1"/>
  <c r="H202" i="1"/>
  <c r="F49" i="1"/>
  <c r="F24" i="1"/>
  <c r="F206" i="1"/>
  <c r="F224" i="1"/>
  <c r="F242" i="1"/>
  <c r="J467" i="1"/>
  <c r="I563" i="1"/>
  <c r="G563" i="1"/>
  <c r="F563" i="1"/>
  <c r="I562" i="1"/>
  <c r="G562" i="1"/>
  <c r="F562" i="1"/>
  <c r="I561" i="1"/>
  <c r="G561" i="1"/>
  <c r="F561" i="1"/>
  <c r="K522" i="1"/>
  <c r="J522" i="1"/>
  <c r="I522" i="1"/>
  <c r="G522" i="1"/>
  <c r="F522" i="1"/>
  <c r="K521" i="1"/>
  <c r="J521" i="1"/>
  <c r="I521" i="1"/>
  <c r="G521" i="1"/>
  <c r="F521" i="1"/>
  <c r="K520" i="1"/>
  <c r="J520" i="1"/>
  <c r="I520" i="1"/>
  <c r="G520" i="1"/>
  <c r="F520" i="1"/>
  <c r="I527" i="1"/>
  <c r="I526" i="1"/>
  <c r="I525" i="1"/>
  <c r="H527" i="1"/>
  <c r="G527" i="1"/>
  <c r="F527" i="1"/>
  <c r="H526" i="1"/>
  <c r="G526" i="1"/>
  <c r="F526" i="1"/>
  <c r="H525" i="1"/>
  <c r="G525" i="1"/>
  <c r="F525" i="1"/>
  <c r="K532" i="1"/>
  <c r="H532" i="1"/>
  <c r="G532" i="1"/>
  <c r="F532" i="1"/>
  <c r="K531" i="1"/>
  <c r="H531" i="1"/>
  <c r="G531" i="1"/>
  <c r="F531" i="1"/>
  <c r="K530" i="1"/>
  <c r="H530" i="1"/>
  <c r="G530" i="1"/>
  <c r="F530" i="1"/>
  <c r="J603" i="1"/>
  <c r="I603" i="1"/>
  <c r="H603" i="1"/>
  <c r="H324" i="1"/>
  <c r="H305" i="1"/>
  <c r="H286" i="1"/>
  <c r="I319" i="1"/>
  <c r="H319" i="1"/>
  <c r="G319" i="1"/>
  <c r="F319" i="1"/>
  <c r="J319" i="1"/>
  <c r="I300" i="1"/>
  <c r="H300" i="1"/>
  <c r="G300" i="1"/>
  <c r="F300" i="1"/>
  <c r="J300" i="1"/>
  <c r="I281" i="1"/>
  <c r="H281" i="1"/>
  <c r="G281" i="1"/>
  <c r="F281" i="1"/>
  <c r="J281" i="1"/>
  <c r="H318" i="1"/>
  <c r="G297" i="1"/>
  <c r="F297" i="1"/>
  <c r="I314" i="1"/>
  <c r="G314" i="1"/>
  <c r="F314" i="1"/>
  <c r="I295" i="1"/>
  <c r="G295" i="1"/>
  <c r="F295" i="1"/>
  <c r="I276" i="1"/>
  <c r="G276" i="1"/>
  <c r="F276" i="1"/>
  <c r="J276" i="1"/>
  <c r="H294" i="1"/>
  <c r="H275" i="1"/>
  <c r="G275" i="1"/>
  <c r="F275" i="1"/>
  <c r="H244" i="1"/>
  <c r="H243" i="1"/>
  <c r="J242" i="1"/>
  <c r="I242" i="1"/>
  <c r="H242" i="1"/>
  <c r="G242" i="1"/>
  <c r="K241" i="1"/>
  <c r="H241" i="1"/>
  <c r="G241" i="1"/>
  <c r="F241" i="1"/>
  <c r="K239" i="1"/>
  <c r="J239" i="1"/>
  <c r="I239" i="1"/>
  <c r="H239" i="1"/>
  <c r="G239" i="1"/>
  <c r="F239" i="1"/>
  <c r="J238" i="1"/>
  <c r="I238" i="1"/>
  <c r="G238" i="1"/>
  <c r="F238" i="1"/>
  <c r="I237" i="1"/>
  <c r="H237" i="1"/>
  <c r="G237" i="1"/>
  <c r="F237" i="1"/>
  <c r="K233" i="1"/>
  <c r="J233" i="1"/>
  <c r="I233" i="1"/>
  <c r="G233" i="1"/>
  <c r="F233" i="1"/>
  <c r="H232" i="1"/>
  <c r="G232" i="1"/>
  <c r="F232" i="1"/>
  <c r="H226" i="1"/>
  <c r="H225" i="1"/>
  <c r="G224" i="1"/>
  <c r="H224" i="1"/>
  <c r="I224" i="1"/>
  <c r="K223" i="1"/>
  <c r="H223" i="1"/>
  <c r="G223" i="1"/>
  <c r="F223" i="1"/>
  <c r="K221" i="1"/>
  <c r="J221" i="1"/>
  <c r="I221" i="1"/>
  <c r="H221" i="1"/>
  <c r="G221" i="1"/>
  <c r="F221" i="1"/>
  <c r="J220" i="1"/>
  <c r="I220" i="1"/>
  <c r="G220" i="1"/>
  <c r="F220" i="1"/>
  <c r="I219" i="1"/>
  <c r="H219" i="1"/>
  <c r="G219" i="1"/>
  <c r="F219" i="1"/>
  <c r="K215" i="1"/>
  <c r="J215" i="1"/>
  <c r="I215" i="1"/>
  <c r="G215" i="1"/>
  <c r="F215" i="1"/>
  <c r="H214" i="1"/>
  <c r="G214" i="1"/>
  <c r="F214" i="1"/>
  <c r="H208" i="1"/>
  <c r="H207" i="1"/>
  <c r="J206" i="1"/>
  <c r="I206" i="1"/>
  <c r="H206" i="1"/>
  <c r="G206" i="1"/>
  <c r="K205" i="1"/>
  <c r="H205" i="1"/>
  <c r="G205" i="1"/>
  <c r="F205" i="1"/>
  <c r="K203" i="1"/>
  <c r="J203" i="1"/>
  <c r="I203" i="1"/>
  <c r="H203" i="1"/>
  <c r="G203" i="1"/>
  <c r="F203" i="1"/>
  <c r="J202" i="1"/>
  <c r="I202" i="1"/>
  <c r="G202" i="1"/>
  <c r="F202" i="1"/>
  <c r="I201" i="1"/>
  <c r="H201" i="1"/>
  <c r="G201" i="1"/>
  <c r="F201" i="1"/>
  <c r="K197" i="1"/>
  <c r="J197" i="1"/>
  <c r="I197" i="1"/>
  <c r="G197" i="1"/>
  <c r="F197" i="1"/>
  <c r="H196" i="1"/>
  <c r="G196" i="1"/>
  <c r="F196" i="1"/>
  <c r="H367" i="1"/>
  <c r="H366" i="1"/>
  <c r="G367" i="1"/>
  <c r="G366" i="1"/>
  <c r="F367" i="1"/>
  <c r="F366" i="1"/>
  <c r="K359" i="1"/>
  <c r="K358" i="1"/>
  <c r="K357" i="1"/>
  <c r="I359" i="1"/>
  <c r="I358" i="1"/>
  <c r="I357" i="1"/>
  <c r="H359" i="1"/>
  <c r="H358" i="1"/>
  <c r="H357" i="1"/>
  <c r="G359" i="1"/>
  <c r="G358" i="1"/>
  <c r="G357" i="1"/>
  <c r="F359" i="1"/>
  <c r="F358" i="1"/>
  <c r="F357" i="1"/>
  <c r="J359" i="1"/>
  <c r="I318" i="1"/>
  <c r="I313" i="1"/>
  <c r="G313" i="1"/>
  <c r="F313" i="1"/>
  <c r="G294" i="1"/>
  <c r="F294" i="1"/>
  <c r="J280" i="1"/>
  <c r="I275" i="1"/>
  <c r="K240" i="1"/>
  <c r="J240" i="1"/>
  <c r="I240" i="1"/>
  <c r="H240" i="1"/>
  <c r="G240" i="1"/>
  <c r="F240" i="1"/>
  <c r="K238" i="1"/>
  <c r="K237" i="1"/>
  <c r="K235" i="1"/>
  <c r="J235" i="1"/>
  <c r="I235" i="1"/>
  <c r="H235" i="1"/>
  <c r="G235" i="1"/>
  <c r="F235" i="1"/>
  <c r="H234" i="1"/>
  <c r="J232" i="1"/>
  <c r="I232" i="1"/>
  <c r="K222" i="1"/>
  <c r="I222" i="1"/>
  <c r="H222" i="1"/>
  <c r="G222" i="1"/>
  <c r="F222" i="1"/>
  <c r="I217" i="1"/>
  <c r="H217" i="1"/>
  <c r="G217" i="1"/>
  <c r="F217" i="1"/>
  <c r="J214" i="1"/>
  <c r="I214" i="1"/>
  <c r="K204" i="1"/>
  <c r="I204" i="1"/>
  <c r="H204" i="1"/>
  <c r="G204" i="1"/>
  <c r="F204" i="1"/>
  <c r="K201" i="1"/>
  <c r="J201" i="1"/>
  <c r="G199" i="1"/>
  <c r="F199" i="1"/>
  <c r="K196" i="1"/>
  <c r="J196" i="1"/>
  <c r="I196" i="1"/>
  <c r="F9" i="1"/>
  <c r="G96" i="1"/>
  <c r="F103" i="1"/>
  <c r="F102" i="1"/>
  <c r="F101" i="1"/>
  <c r="F29" i="1"/>
  <c r="H399" i="1"/>
  <c r="G497" i="1"/>
  <c r="F497" i="1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F31" i="13"/>
  <c r="K289" i="1"/>
  <c r="K308" i="1"/>
  <c r="K327" i="1"/>
  <c r="G31" i="13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C27" i="10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62" i="2" s="1"/>
  <c r="G103" i="2" s="1"/>
  <c r="G58" i="2"/>
  <c r="G60" i="2"/>
  <c r="F2" i="11"/>
  <c r="L612" i="1"/>
  <c r="H662" i="1" s="1"/>
  <c r="L611" i="1"/>
  <c r="G662" i="1" s="1"/>
  <c r="L610" i="1"/>
  <c r="F662" i="1" s="1"/>
  <c r="I662" i="1" s="1"/>
  <c r="C40" i="10"/>
  <c r="F59" i="1"/>
  <c r="G59" i="1"/>
  <c r="H59" i="1"/>
  <c r="I59" i="1"/>
  <c r="F78" i="1"/>
  <c r="F93" i="1"/>
  <c r="F110" i="1"/>
  <c r="G110" i="1"/>
  <c r="G111" i="1"/>
  <c r="H78" i="1"/>
  <c r="H93" i="1"/>
  <c r="H110" i="1"/>
  <c r="I110" i="1"/>
  <c r="I111" i="1" s="1"/>
  <c r="J110" i="1"/>
  <c r="J111" i="1" s="1"/>
  <c r="F120" i="1"/>
  <c r="F135" i="1"/>
  <c r="F139" i="1" s="1"/>
  <c r="F192" i="1" s="1"/>
  <c r="G626" i="1" s="1"/>
  <c r="J626" i="1" s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I161" i="1"/>
  <c r="C10" i="10"/>
  <c r="C11" i="10"/>
  <c r="C12" i="10"/>
  <c r="C13" i="10"/>
  <c r="C15" i="10"/>
  <c r="C16" i="10"/>
  <c r="C17" i="10"/>
  <c r="C18" i="10"/>
  <c r="C19" i="10"/>
  <c r="C20" i="10"/>
  <c r="C21" i="10"/>
  <c r="L249" i="1"/>
  <c r="L331" i="1"/>
  <c r="L253" i="1"/>
  <c r="C24" i="10"/>
  <c r="C25" i="10"/>
  <c r="L267" i="1"/>
  <c r="L268" i="1"/>
  <c r="L348" i="1"/>
  <c r="L349" i="1"/>
  <c r="I664" i="1"/>
  <c r="I669" i="1"/>
  <c r="L210" i="1"/>
  <c r="L228" i="1"/>
  <c r="L246" i="1"/>
  <c r="F660" i="1"/>
  <c r="G660" i="1"/>
  <c r="H660" i="1"/>
  <c r="F661" i="1"/>
  <c r="G661" i="1"/>
  <c r="H661" i="1"/>
  <c r="I668" i="1"/>
  <c r="L327" i="1"/>
  <c r="H659" i="1" s="1"/>
  <c r="H663" i="1" s="1"/>
  <c r="H671" i="1" s="1"/>
  <c r="C6" i="10" s="1"/>
  <c r="L308" i="1"/>
  <c r="G659" i="1"/>
  <c r="G663" i="1" s="1"/>
  <c r="G671" i="1" s="1"/>
  <c r="C5" i="10" s="1"/>
  <c r="L289" i="1"/>
  <c r="F659" i="1" s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 s="1"/>
  <c r="D144" i="2" s="1"/>
  <c r="E133" i="2"/>
  <c r="F133" i="2"/>
  <c r="K418" i="1"/>
  <c r="K426" i="1"/>
  <c r="K432" i="1"/>
  <c r="L262" i="1"/>
  <c r="C134" i="2" s="1"/>
  <c r="E134" i="2"/>
  <c r="L263" i="1"/>
  <c r="C135" i="2"/>
  <c r="L264" i="1"/>
  <c r="C136" i="2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/>
  <c r="H617" i="1" s="1"/>
  <c r="H50" i="1"/>
  <c r="I50" i="1"/>
  <c r="I51" i="1" s="1"/>
  <c r="H619" i="1" s="1"/>
  <c r="F176" i="1"/>
  <c r="I176" i="1"/>
  <c r="F182" i="1"/>
  <c r="G182" i="1"/>
  <c r="H182" i="1"/>
  <c r="I182" i="1"/>
  <c r="J182" i="1"/>
  <c r="J191" i="1" s="1"/>
  <c r="J192" i="1" s="1"/>
  <c r="F187" i="1"/>
  <c r="G187" i="1"/>
  <c r="H187" i="1"/>
  <c r="I187" i="1"/>
  <c r="I191" i="1" s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I337" i="1" s="1"/>
  <c r="I351" i="1" s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J433" i="1" s="1"/>
  <c r="L428" i="1"/>
  <c r="L429" i="1"/>
  <c r="L430" i="1"/>
  <c r="L431" i="1"/>
  <c r="F432" i="1"/>
  <c r="G432" i="1"/>
  <c r="H432" i="1"/>
  <c r="I432" i="1"/>
  <c r="I433" i="1" s="1"/>
  <c r="J432" i="1"/>
  <c r="F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F533" i="1"/>
  <c r="F528" i="1"/>
  <c r="G523" i="1"/>
  <c r="H523" i="1"/>
  <c r="I523" i="1"/>
  <c r="J523" i="1"/>
  <c r="K523" i="1"/>
  <c r="L523" i="1"/>
  <c r="G528" i="1"/>
  <c r="H528" i="1"/>
  <c r="I528" i="1"/>
  <c r="J528" i="1"/>
  <c r="K528" i="1"/>
  <c r="L528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G569" i="1"/>
  <c r="G564" i="1"/>
  <c r="H559" i="1"/>
  <c r="I559" i="1"/>
  <c r="J559" i="1"/>
  <c r="K559" i="1"/>
  <c r="L561" i="1"/>
  <c r="L562" i="1"/>
  <c r="L563" i="1"/>
  <c r="F564" i="1"/>
  <c r="H564" i="1"/>
  <c r="I564" i="1"/>
  <c r="J564" i="1"/>
  <c r="K564" i="1"/>
  <c r="L566" i="1"/>
  <c r="L567" i="1"/>
  <c r="L568" i="1"/>
  <c r="F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G648" i="1"/>
  <c r="J648" i="1" s="1"/>
  <c r="I597" i="1"/>
  <c r="J597" i="1"/>
  <c r="H650" i="1" s="1"/>
  <c r="J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G619" i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G634" i="1"/>
  <c r="H634" i="1"/>
  <c r="J634" i="1"/>
  <c r="H635" i="1"/>
  <c r="H636" i="1"/>
  <c r="H637" i="1"/>
  <c r="G638" i="1"/>
  <c r="H638" i="1"/>
  <c r="G639" i="1"/>
  <c r="H639" i="1"/>
  <c r="G640" i="1"/>
  <c r="H640" i="1"/>
  <c r="G641" i="1"/>
  <c r="H641" i="1"/>
  <c r="J641" i="1"/>
  <c r="G642" i="1"/>
  <c r="H642" i="1"/>
  <c r="G643" i="1"/>
  <c r="H643" i="1"/>
  <c r="G644" i="1"/>
  <c r="H644" i="1"/>
  <c r="H646" i="1"/>
  <c r="G649" i="1"/>
  <c r="H649" i="1"/>
  <c r="J649" i="1"/>
  <c r="G650" i="1"/>
  <c r="G651" i="1"/>
  <c r="H651" i="1"/>
  <c r="J651" i="1"/>
  <c r="G652" i="1"/>
  <c r="H652" i="1"/>
  <c r="J652" i="1" s="1"/>
  <c r="G653" i="1"/>
  <c r="H653" i="1"/>
  <c r="J653" i="1" s="1"/>
  <c r="H654" i="1"/>
  <c r="J351" i="1"/>
  <c r="F191" i="1"/>
  <c r="L255" i="1"/>
  <c r="L256" i="1" s="1"/>
  <c r="L270" i="1" s="1"/>
  <c r="G631" i="1" s="1"/>
  <c r="J631" i="1" s="1"/>
  <c r="K256" i="1"/>
  <c r="K270" i="1" s="1"/>
  <c r="I256" i="1"/>
  <c r="I270" i="1" s="1"/>
  <c r="G256" i="1"/>
  <c r="G270" i="1" s="1"/>
  <c r="G163" i="2"/>
  <c r="G159" i="2"/>
  <c r="C18" i="2"/>
  <c r="F31" i="2"/>
  <c r="C26" i="10"/>
  <c r="L350" i="1"/>
  <c r="I661" i="1"/>
  <c r="A31" i="12"/>
  <c r="C69" i="2"/>
  <c r="A40" i="12"/>
  <c r="D12" i="13"/>
  <c r="C12" i="13" s="1"/>
  <c r="G8" i="2"/>
  <c r="G161" i="2"/>
  <c r="D61" i="2"/>
  <c r="D62" i="2" s="1"/>
  <c r="E49" i="2"/>
  <c r="D18" i="13"/>
  <c r="C18" i="13" s="1"/>
  <c r="D15" i="13"/>
  <c r="C15" i="13" s="1"/>
  <c r="D7" i="13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/>
  <c r="F61" i="2"/>
  <c r="F62" i="2"/>
  <c r="F103" i="2" s="1"/>
  <c r="D31" i="2"/>
  <c r="C127" i="2"/>
  <c r="C77" i="2"/>
  <c r="D49" i="2"/>
  <c r="D50" i="2" s="1"/>
  <c r="G156" i="2"/>
  <c r="F49" i="2"/>
  <c r="F50" i="2" s="1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C103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C7" i="13"/>
  <c r="J616" i="1"/>
  <c r="C80" i="2"/>
  <c r="E77" i="2"/>
  <c r="E80" i="2" s="1"/>
  <c r="L426" i="1"/>
  <c r="J256" i="1"/>
  <c r="H111" i="1"/>
  <c r="F111" i="1"/>
  <c r="J640" i="1"/>
  <c r="J638" i="1"/>
  <c r="K604" i="1"/>
  <c r="G647" i="1" s="1"/>
  <c r="J647" i="1" s="1"/>
  <c r="J570" i="1"/>
  <c r="K570" i="1"/>
  <c r="L432" i="1"/>
  <c r="L418" i="1"/>
  <c r="D80" i="2"/>
  <c r="I659" i="1"/>
  <c r="I660" i="1"/>
  <c r="I168" i="1"/>
  <c r="H168" i="1"/>
  <c r="J270" i="1"/>
  <c r="H647" i="1"/>
  <c r="G551" i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J624" i="1" s="1"/>
  <c r="G475" i="1"/>
  <c r="H622" i="1" s="1"/>
  <c r="J622" i="1" s="1"/>
  <c r="G337" i="1"/>
  <c r="G351" i="1" s="1"/>
  <c r="C23" i="10"/>
  <c r="C28" i="10" s="1"/>
  <c r="F168" i="1"/>
  <c r="J139" i="1"/>
  <c r="F570" i="1"/>
  <c r="H256" i="1"/>
  <c r="H270" i="1" s="1"/>
  <c r="I551" i="1"/>
  <c r="K548" i="1"/>
  <c r="K549" i="1"/>
  <c r="G22" i="2"/>
  <c r="K597" i="1"/>
  <c r="G646" i="1" s="1"/>
  <c r="J646" i="1" s="1"/>
  <c r="K544" i="1"/>
  <c r="J617" i="1"/>
  <c r="J551" i="1"/>
  <c r="H551" i="1"/>
  <c r="C29" i="10"/>
  <c r="H139" i="1"/>
  <c r="L400" i="1"/>
  <c r="C138" i="2" s="1"/>
  <c r="L392" i="1"/>
  <c r="A13" i="12"/>
  <c r="F22" i="13"/>
  <c r="H25" i="13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E144" i="2"/>
  <c r="F551" i="1"/>
  <c r="C35" i="10"/>
  <c r="C36" i="10" s="1"/>
  <c r="D5" i="13"/>
  <c r="E16" i="13"/>
  <c r="E33" i="13" s="1"/>
  <c r="D35" i="13" s="1"/>
  <c r="C49" i="2"/>
  <c r="C50" i="2" s="1"/>
  <c r="J654" i="1"/>
  <c r="J644" i="1"/>
  <c r="H666" i="1"/>
  <c r="L569" i="1"/>
  <c r="I570" i="1"/>
  <c r="I544" i="1"/>
  <c r="J635" i="1"/>
  <c r="G36" i="2"/>
  <c r="G49" i="2" s="1"/>
  <c r="J50" i="1"/>
  <c r="G625" i="1" s="1"/>
  <c r="J625" i="1" s="1"/>
  <c r="C39" i="10"/>
  <c r="H192" i="1"/>
  <c r="G628" i="1" s="1"/>
  <c r="J628" i="1" s="1"/>
  <c r="L564" i="1"/>
  <c r="L570" i="1"/>
  <c r="G544" i="1"/>
  <c r="L544" i="1"/>
  <c r="H544" i="1"/>
  <c r="K550" i="1"/>
  <c r="K551" i="1" s="1"/>
  <c r="F143" i="2"/>
  <c r="F144" i="2" s="1"/>
  <c r="C5" i="13"/>
  <c r="C22" i="13"/>
  <c r="F33" i="13"/>
  <c r="C137" i="2"/>
  <c r="L407" i="1"/>
  <c r="C16" i="13"/>
  <c r="D31" i="13"/>
  <c r="C31" i="13"/>
  <c r="L337" i="1"/>
  <c r="L351" i="1"/>
  <c r="G632" i="1" s="1"/>
  <c r="J632" i="1" s="1"/>
  <c r="C25" i="13"/>
  <c r="H33" i="13"/>
  <c r="G636" i="1"/>
  <c r="J636" i="1" s="1"/>
  <c r="H645" i="1"/>
  <c r="D33" i="13"/>
  <c r="D36" i="13" s="1"/>
  <c r="G666" i="1"/>
  <c r="D25" i="10" l="1"/>
  <c r="D24" i="10"/>
  <c r="D22" i="10"/>
  <c r="D27" i="10"/>
  <c r="D19" i="10"/>
  <c r="D16" i="10"/>
  <c r="D12" i="10"/>
  <c r="D21" i="10"/>
  <c r="D26" i="10"/>
  <c r="D18" i="10"/>
  <c r="D20" i="10"/>
  <c r="D23" i="10"/>
  <c r="D15" i="10"/>
  <c r="D13" i="10"/>
  <c r="D10" i="10"/>
  <c r="G630" i="1"/>
  <c r="J630" i="1" s="1"/>
  <c r="G645" i="1"/>
  <c r="J645" i="1" s="1"/>
  <c r="G21" i="2"/>
  <c r="G31" i="2" s="1"/>
  <c r="G50" i="2" s="1"/>
  <c r="J32" i="1"/>
  <c r="J19" i="1"/>
  <c r="G620" i="1" s="1"/>
  <c r="G12" i="2"/>
  <c r="G18" i="2" s="1"/>
  <c r="I192" i="1"/>
  <c r="G629" i="1" s="1"/>
  <c r="J629" i="1" s="1"/>
  <c r="L433" i="1"/>
  <c r="G637" i="1" s="1"/>
  <c r="J637" i="1" s="1"/>
  <c r="J619" i="1"/>
  <c r="G570" i="1"/>
  <c r="G433" i="1"/>
  <c r="E90" i="2"/>
  <c r="E103" i="2" s="1"/>
  <c r="A22" i="12"/>
  <c r="J51" i="1"/>
  <c r="H620" i="1" s="1"/>
  <c r="C38" i="10"/>
  <c r="C41" i="10" s="1"/>
  <c r="I663" i="1"/>
  <c r="J618" i="1"/>
  <c r="F544" i="1"/>
  <c r="H433" i="1"/>
  <c r="H51" i="1"/>
  <c r="H618" i="1" s="1"/>
  <c r="K433" i="1"/>
  <c r="G133" i="2" s="1"/>
  <c r="G143" i="2" s="1"/>
  <c r="G144" i="2" s="1"/>
  <c r="D102" i="2"/>
  <c r="D103" i="2" s="1"/>
  <c r="G33" i="13"/>
  <c r="C140" i="2"/>
  <c r="C143" i="2" s="1"/>
  <c r="C144" i="2" s="1"/>
  <c r="J620" i="1"/>
  <c r="H655" i="1"/>
  <c r="I666" i="1"/>
  <c r="I671" i="1"/>
  <c r="C7" i="10" s="1"/>
  <c r="D11" i="10"/>
  <c r="D17" i="10"/>
  <c r="C30" i="10"/>
  <c r="F663" i="1"/>
  <c r="D36" i="10" l="1"/>
  <c r="D38" i="10"/>
  <c r="D28" i="10"/>
  <c r="D37" i="10"/>
  <c r="D40" i="10"/>
  <c r="D35" i="10"/>
  <c r="D39" i="10"/>
  <c r="F671" i="1"/>
  <c r="C4" i="10" s="1"/>
  <c r="F666" i="1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<sst xmlns="http://schemas.openxmlformats.org/spreadsheetml/2006/main" count="3974" uniqueCount="924">
  <si>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</si>
  <si>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</si>
  <si>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</si>
  <si>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</si>
  <si>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</si>
  <si>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</si>
  <si>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</si>
  <si>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</si>
  <si>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</si>
  <si>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</si>
  <si>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</si>
  <si>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</si>
  <si>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</si>
  <si>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</si>
  <si>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</si>
  <si>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</si>
  <si>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</si>
  <si>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</si>
  <si>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</si>
  <si>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</si>
  <si>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</si>
  <si>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</si>
  <si>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</si>
  <si>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</si>
  <si>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</si>
  <si>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</si>
  <si>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</si>
  <si>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</si>
  <si>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</si>
  <si>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</si>
  <si>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</si>
  <si>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</si>
  <si>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</si>
  <si>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</si>
  <si>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</si>
  <si>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</si>
  <si>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</si>
  <si>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</si>
  <si>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</si>
  <si>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</si>
  <si>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</si>
  <si>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</si>
  <si>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</si>
  <si>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</si>
  <si>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</si>
  <si>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</si>
  <si>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</si>
  <si>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</si>
  <si>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</si>
  <si>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</si>
  <si>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</si>
  <si>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</si>
  <si>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</si>
  <si>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</si>
  <si>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</si>
  <si>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</si>
  <si>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</si>
  <si>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</si>
  <si>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</si>
  <si>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</si>
  <si>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</si>
  <si>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</si>
  <si>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</si>
  <si>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</si>
  <si>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</si>
  <si>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</si>
  <si>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</si>
  <si>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</si>
  <si>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</si>
  <si>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</si>
  <si>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</si>
  <si>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</si>
  <si>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</si>
  <si>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</si>
  <si>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</si>
  <si>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</si>
  <si>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</si>
  <si>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</si>
  <si>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</si>
  <si>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</si>
  <si>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</si>
  <si>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</si>
  <si>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</si>
  <si>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</si>
  <si>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</si>
  <si>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</si>
  <si>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</si>
  <si>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</si>
  <si>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</si>
  <si>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</si>
  <si>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</si>
  <si>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</si>
  <si>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</si>
  <si>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</si>
  <si>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</si>
  <si>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</si>
  <si>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</si>
  <si>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</si>
  <si>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</si>
  <si>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</si>
  <si>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</si>
  <si>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</si>
  <si>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</si>
  <si>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</si>
  <si>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</si>
  <si>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</si>
  <si>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</si>
  <si>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</si>
  <si>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</si>
  <si>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</si>
  <si>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</si>
  <si>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</si>
  <si>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</si>
  <si>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</si>
  <si>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</si>
  <si>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</si>
  <si>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</si>
  <si>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</si>
  <si>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</si>
  <si>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</si>
  <si>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</si>
  <si>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</si>
  <si>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</si>
  <si>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</si>
  <si>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</si>
  <si>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</si>
  <si>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</si>
  <si>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</si>
  <si>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</si>
  <si>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</si>
  <si>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</si>
  <si>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</si>
  <si>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</si>
  <si>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</si>
  <si>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</si>
  <si>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</si>
  <si>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</si>
  <si>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</si>
  <si>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</si>
  <si>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</si>
  <si>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</si>
  <si>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</si>
  <si>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</si>
  <si>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</si>
  <si>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</si>
  <si>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</si>
  <si>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</si>
  <si>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</si>
  <si>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</si>
  <si>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</si>
  <si>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</si>
  <si>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</si>
  <si>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</si>
  <si>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</si>
  <si>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</si>
  <si>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</si>
  <si>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</si>
  <si>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</si>
  <si>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</si>
  <si>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</si>
  <si>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</si>
  <si>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</si>
  <si>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</si>
  <si>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</si>
  <si>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</si>
  <si>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</si>
  <si>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</si>
  <si>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</si>
  <si>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</si>
  <si>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</si>
  <si>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</si>
  <si>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</si>
  <si>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</si>
  <si>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</si>
  <si>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</si>
  <si>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</si>
  <si>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</si>
  <si>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</si>
  <si>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</si>
  <si>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</si>
  <si>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</si>
  <si>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</si>
  <si>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</si>
  <si>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</si>
  <si>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</si>
  <si>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</si>
  <si>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</si>
  <si>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</si>
  <si>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</si>
  <si>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</si>
  <si>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</si>
  <si>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</si>
  <si>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</si>
  <si>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</si>
  <si>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</si>
  <si>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</si>
  <si>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</si>
  <si>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</si>
  <si>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</si>
  <si>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</si>
  <si>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</si>
  <si>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</si>
  <si>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</si>
  <si>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</si>
  <si>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</si>
  <si>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</si>
  <si>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</si>
  <si>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</si>
  <si>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</si>
  <si>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</si>
  <si>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</si>
  <si>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</si>
  <si>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</si>
  <si>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</si>
  <si>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</si>
  <si>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</si>
  <si>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</si>
  <si>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</si>
  <si>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</si>
  <si>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</si>
  <si>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</si>
  <si>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</si>
  <si>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</si>
  <si>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</si>
  <si>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</si>
  <si>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</si>
  <si>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</si>
  <si>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</si>
  <si>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</si>
  <si>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</si>
  <si>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</si>
  <si>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</si>
  <si>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</si>
  <si>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</si>
  <si>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</si>
  <si>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</si>
  <si>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</si>
  <si>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</si>
  <si>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</si>
  <si>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</si>
  <si>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</si>
  <si>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</si>
  <si>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</si>
  <si>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</si>
  <si>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</si>
  <si>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</si>
  <si>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</si>
  <si>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</si>
  <si>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</si>
  <si>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</si>
  <si>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</si>
  <si>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</si>
  <si>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</si>
  <si>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</si>
  <si>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</si>
  <si>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</si>
  <si>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</si>
  <si>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</si>
  <si>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</si>
  <si>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</si>
  <si>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</si>
  <si>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</si>
  <si>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</si>
  <si>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</si>
  <si>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</si>
  <si>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</si>
  <si>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</si>
  <si>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</si>
  <si>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</si>
  <si>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</si>
  <si>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</si>
  <si>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</si>
  <si>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</si>
  <si>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</si>
  <si>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</si>
  <si>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</si>
  <si>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</si>
  <si>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</si>
  <si>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</si>
  <si>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</si>
  <si>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</si>
  <si>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</si>
  <si>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</si>
  <si>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</si>
  <si>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</si>
  <si>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</si>
  <si>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</si>
  <si>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</si>
  <si>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</si>
  <si>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</si>
  <si>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</si>
  <si>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</si>
  <si>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</si>
  <si>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</si>
  <si>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</si>
  <si>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</si>
  <si>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</si>
  <si>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</si>
  <si>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</si>
  <si>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</si>
  <si>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</si>
  <si>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</si>
  <si>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</si>
  <si>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</si>
  <si>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</si>
  <si>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</si>
  <si>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</si>
  <si>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</si>
  <si>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</si>
  <si>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</si>
  <si>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</si>
  <si>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</si>
  <si>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</si>
  <si>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</si>
  <si>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</si>
  <si>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</si>
  <si>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</si>
  <si>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</si>
  <si>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</si>
  <si>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</si>
  <si>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</si>
  <si>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</si>
  <si>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</si>
  <si>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</si>
  <si>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</si>
  <si>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</si>
  <si>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</si>
  <si>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</si>
  <si>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</si>
  <si>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</si>
  <si>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</si>
  <si>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</si>
  <si>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</si>
  <si>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</si>
  <si>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</si>
  <si>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</si>
  <si>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</si>
  <si>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</si>
  <si>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</si>
  <si>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</si>
  <si>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</si>
  <si>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</si>
  <si>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</si>
  <si>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</si>
  <si>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</si>
  <si>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</si>
  <si>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</si>
  <si>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</si>
  <si>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</si>
  <si>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</si>
  <si>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</si>
  <si>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</si>
  <si>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</si>
  <si>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</si>
  <si>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</si>
  <si>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</si>
  <si>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</si>
  <si>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</si>
  <si>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</si>
  <si>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</si>
  <si>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</si>
  <si>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</si>
  <si>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</si>
  <si>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</si>
  <si>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</si>
  <si>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</si>
  <si>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</si>
  <si>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</si>
  <si>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</si>
  <si>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</si>
  <si>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</si>
  <si>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</si>
  <si>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</si>
  <si>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</si>
  <si>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</si>
  <si>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</si>
  <si>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</si>
  <si>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</si>
  <si>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</si>
  <si>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</si>
  <si>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</si>
  <si>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</si>
  <si>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</si>
  <si>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</si>
  <si>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</si>
  <si>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</si>
  <si>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</si>
  <si>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</si>
  <si>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</si>
  <si>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</si>
  <si>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</si>
  <si>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</si>
  <si>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</si>
  <si>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</si>
  <si>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</si>
  <si>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</si>
  <si>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</si>
  <si>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</si>
  <si>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</si>
  <si>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</si>
  <si>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</si>
  <si>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</si>
  <si>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</si>
  <si>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</si>
  <si>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</si>
  <si>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</si>
  <si>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</si>
  <si>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</si>
  <si>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</si>
  <si>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</si>
  <si>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</si>
  <si>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</si>
  <si>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</si>
  <si>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</si>
  <si>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</si>
  <si>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</si>
  <si>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</si>
  <si>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</si>
  <si>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</si>
  <si>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</si>
  <si>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</si>
  <si>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</si>
  <si>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</si>
  <si>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</si>
  <si>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</si>
  <si>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</si>
  <si>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</si>
  <si>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</si>
  <si>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</si>
  <si>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</si>
  <si>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</si>
  <si>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</si>
  <si>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</si>
  <si>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</si>
  <si>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</si>
  <si>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</si>
  <si>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</si>
  <si>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</si>
  <si>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</si>
  <si>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</si>
  <si>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</si>
  <si>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</si>
  <si>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</si>
  <si>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</si>
  <si>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</si>
  <si>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</si>
  <si>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</si>
  <si>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</si>
  <si>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</si>
  <si>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</si>
  <si>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</si>
  <si>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</si>
  <si>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</si>
  <si>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</si>
  <si>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</si>
  <si>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</si>
  <si>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</si>
  <si>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</si>
  <si>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</si>
  <si>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</si>
  <si>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</si>
  <si>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</si>
  <si>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</si>
  <si>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</si>
  <si>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</si>
  <si>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</si>
  <si>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</si>
  <si>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</si>
  <si>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</si>
  <si>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</si>
  <si>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</si>
  <si>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</si>
  <si>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</si>
  <si>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</si>
  <si>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</si>
  <si>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</si>
  <si>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</si>
  <si>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</si>
  <si>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</si>
  <si>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</si>
  <si>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</si>
  <si>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</si>
  <si>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</si>
  <si>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</si>
  <si>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</si>
  <si>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</si>
  <si>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</si>
  <si>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</si>
  <si>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</si>
  <si>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</si>
  <si>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</si>
  <si>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</si>
  <si>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</si>
  <si>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</si>
  <si>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</si>
  <si>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</si>
  <si>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</si>
  <si>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</si>
  <si>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</si>
  <si>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</si>
  <si>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</si>
  <si>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</si>
  <si>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</si>
  <si>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</si>
  <si>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</si>
  <si>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</si>
  <si>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</si>
  <si>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</si>
  <si>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</si>
  <si>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</si>
  <si>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</si>
  <si>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</si>
  <si>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</si>
  <si>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</si>
  <si>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</si>
  <si>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</si>
  <si>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</si>
  <si>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</si>
  <si>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</si>
  <si>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</si>
  <si>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</si>
  <si>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</si>
  <si>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</si>
  <si>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</si>
  <si>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</si>
  <si>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</si>
  <si>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</si>
  <si>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</si>
  <si>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</si>
  <si>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</si>
  <si>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</si>
  <si>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</si>
  <si>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</si>
  <si>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</si>
  <si>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</si>
  <si>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</si>
  <si>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</si>
  <si>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</si>
  <si>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</si>
  <si>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</si>
  <si>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</si>
  <si>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</si>
  <si>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</si>
  <si>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</si>
  <si>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</si>
  <si>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</si>
  <si>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</si>
  <si>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</si>
  <si>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</si>
  <si>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</si>
  <si>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</si>
  <si>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</si>
  <si>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</si>
  <si>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</si>
  <si>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</si>
  <si>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</si>
  <si>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</si>
  <si>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</si>
  <si>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</si>
  <si>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</si>
  <si>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</si>
  <si>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</si>
  <si>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</si>
  <si>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</si>
  <si>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</si>
  <si>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</si>
  <si>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</si>
  <si>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</si>
  <si>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</si>
  <si>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</si>
  <si>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</si>
  <si>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</si>
  <si>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</si>
  <si>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</si>
  <si>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</si>
  <si>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</si>
  <si>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</si>
  <si>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</si>
  <si>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</si>
  <si>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</si>
  <si>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</si>
  <si>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</si>
  <si>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</si>
  <si>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</si>
  <si>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</si>
  <si>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</si>
  <si>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</si>
  <si>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</si>
  <si>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</si>
  <si>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</si>
  <si>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</si>
  <si>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</si>
  <si>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</si>
  <si>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</si>
  <si>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</si>
  <si>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</si>
  <si>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</si>
  <si>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</si>
  <si>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</si>
  <si>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</si>
  <si>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</si>
  <si>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</si>
  <si>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</si>
  <si>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</si>
  <si>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</si>
  <si>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</si>
  <si>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</si>
  <si>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</si>
  <si>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</si>
  <si>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</si>
  <si>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</si>
  <si>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</si>
  <si>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</si>
  <si>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</si>
  <si>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</si>
  <si>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</si>
  <si>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</si>
  <si>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</si>
  <si>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</si>
  <si>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</si>
  <si>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</si>
  <si>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</si>
  <si>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</si>
  <si>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</si>
  <si>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</si>
  <si>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</si>
  <si>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</si>
  <si>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</si>
  <si>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</si>
  <si>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</si>
  <si>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</si>
  <si>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</si>
  <si>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</si>
  <si>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</si>
  <si>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</si>
  <si>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</si>
  <si>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</si>
  <si>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</si>
  <si>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</si>
  <si>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</si>
  <si>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</si>
  <si>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</si>
  <si>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</si>
  <si>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</si>
  <si>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</si>
  <si>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</si>
  <si>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</si>
  <si>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</si>
  <si>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</si>
  <si>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</si>
  <si>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</si>
  <si>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</si>
  <si>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</si>
  <si>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</si>
  <si>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</si>
  <si>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</si>
  <si>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</si>
  <si>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</si>
  <si>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</si>
  <si>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</si>
  <si>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</si>
  <si>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</si>
  <si>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</si>
  <si>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</si>
  <si>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</si>
  <si>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</si>
  <si>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</si>
  <si>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</si>
  <si>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</si>
  <si>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</si>
  <si>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</si>
  <si>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</si>
  <si>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</si>
  <si>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</si>
  <si>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</si>
  <si>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</si>
  <si>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</si>
  <si>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</si>
  <si>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</si>
  <si>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</si>
  <si>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</si>
  <si>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</si>
  <si>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</si>
  <si>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</si>
  <si>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</si>
  <si>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</si>
  <si>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</si>
  <si>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</si>
  <si>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</si>
  <si>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</si>
  <si>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</si>
  <si>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</si>
  <si>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</si>
  <si>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</si>
  <si>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</si>
  <si>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</si>
  <si>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</si>
  <si>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</si>
  <si>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</si>
  <si>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</si>
  <si>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</si>
  <si>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</si>
  <si>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</si>
  <si>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</si>
  <si>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</si>
  <si>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</si>
  <si>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</si>
  <si>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</si>
  <si>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</si>
  <si>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</si>
  <si>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</si>
  <si>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</si>
  <si>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</si>
  <si>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</si>
  <si>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</si>
  <si>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</si>
  <si>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</si>
  <si>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</si>
  <si>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</si>
  <si>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</si>
  <si>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</si>
  <si>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</si>
  <si>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</si>
  <si>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</si>
  <si>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</si>
  <si>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</si>
  <si>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</si>
  <si>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</si>
  <si>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</si>
  <si>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</si>
  <si>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</si>
  <si>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</si>
  <si>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</si>
  <si>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</si>
  <si>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</si>
  <si>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</si>
  <si>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</si>
  <si>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</si>
  <si>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</si>
  <si>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</si>
  <si>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</si>
  <si>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</si>
  <si>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</si>
  <si>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</si>
  <si>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</si>
  <si>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</si>
  <si>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</si>
  <si>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</si>
  <si>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</si>
  <si>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</si>
  <si>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</si>
  <si>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</si>
  <si>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</si>
  <si>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</si>
  <si>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</si>
  <si>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</si>
  <si>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</si>
  <si>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</si>
  <si>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</si>
  <si>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</si>
  <si>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</si>
  <si>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</si>
  <si>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</si>
  <si>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</si>
  <si>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</si>
  <si>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</si>
  <si>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</si>
  <si>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</si>
  <si>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</si>
  <si>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</si>
  <si>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</si>
  <si>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</si>
  <si>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</si>
  <si>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</si>
  <si>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</si>
  <si>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</si>
  <si>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</si>
  <si>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</si>
  <si>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</si>
  <si>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</si>
  <si>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</si>
  <si>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</si>
  <si>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</si>
  <si>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</si>
  <si>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</si>
  <si>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</si>
  <si>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</si>
  <si>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</si>
  <si>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</si>
  <si>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</si>
  <si>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</si>
  <si>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</si>
  <si>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</si>
  <si>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</si>
  <si>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</si>
  <si>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</si>
  <si>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</si>
  <si>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</si>
  <si>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</si>
  <si>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</si>
  <si>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</si>
  <si>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</si>
  <si>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</si>
  <si>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</si>
  <si>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</si>
  <si>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</si>
  <si>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</si>
  <si>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</si>
  <si>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</si>
  <si>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</si>
  <si>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</si>
  <si>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</si>
  <si>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</si>
  <si>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</si>
  <si>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</si>
  <si>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</si>
  <si>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</si>
  <si>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</si>
  <si>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</si>
  <si>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</si>
  <si>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</si>
  <si>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</si>
  <si>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</si>
  <si>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</si>
  <si>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</si>
  <si>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</si>
  <si>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</si>
  <si>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</si>
  <si>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</si>
  <si>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</si>
  <si>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</si>
  <si>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</si>
  <si>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</si>
  <si>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</si>
  <si>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</si>
  <si>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</si>
  <si>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</si>
  <si>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</si>
  <si>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</si>
  <si>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</si>
  <si>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</si>
  <si>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</si>
  <si>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</si>
  <si>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</si>
  <si>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</si>
  <si>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</si>
  <si>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</si>
  <si>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</si>
  <si>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</si>
  <si>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</si>
  <si>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</si>
  <si>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</si>
  <si>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</si>
  <si>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</si>
  <si>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</si>
  <si>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</si>
  <si>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</si>
  <si>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</si>
  <si>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</si>
  <si>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</si>
  <si>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</si>
  <si>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</si>
  <si>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</si>
  <si>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</si>
  <si>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</si>
  <si>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</si>
  <si>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</si>
  <si>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</si>
  <si>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</si>
  <si>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</si>
  <si>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</si>
  <si>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</si>
  <si>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</si>
  <si>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</si>
  <si>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</si>
  <si>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</si>
  <si>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</si>
  <si>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</si>
  <si>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</si>
  <si>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</si>
  <si>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</si>
  <si>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</si>
  <si>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</si>
  <si>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</si>
  <si>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</si>
  <si>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</si>
  <si>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</si>
  <si>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</si>
  <si>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</si>
  <si>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</si>
  <si>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</si>
  <si>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</si>
  <si>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</si>
  <si>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</si>
  <si>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</si>
  <si>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</si>
  <si>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</si>
  <si>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</si>
  <si>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</si>
  <si>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</si>
  <si>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</si>
  <si>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</si>
  <si>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</si>
  <si>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</si>
  <si>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</si>
  <si>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</si>
  <si>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</si>
  <si>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</si>
  <si>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</si>
  <si>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RAYMOND SCHOOL DISTRICT</t>
  </si>
  <si>
    <t>Other Assessments from Local Sources of $37,804.00 are Impact Fees received from the Town of Raymond</t>
  </si>
  <si>
    <t>8/05</t>
  </si>
  <si>
    <t>10/03</t>
  </si>
  <si>
    <t>10/13</t>
  </si>
  <si>
    <t>8/25</t>
  </si>
  <si>
    <t>Goodrich Fund</t>
  </si>
  <si>
    <t xml:space="preserve">Other Restricted State Aid of $6,997.12 is Differentiated Charter School Aid </t>
  </si>
  <si>
    <t>Other Unrestricted State Aid of $16,469.51 is Raymond's pro-rata share of employer contributions from NH Retirement</t>
  </si>
  <si>
    <t>Transfers from Special Revenue Fund of $30,164.62 are Indirect Costs charged to Grants</t>
  </si>
  <si>
    <t>Other Restricted Federal Aid Through State of $166,559.40 is Raymond's "Ed Jobs - Additional Aid"</t>
  </si>
  <si>
    <t>Fund Transfers to General Fund of $30,164.62 are Indirect Costs charged to Grants</t>
  </si>
  <si>
    <t>Other Food Service Revenue from Local Sources of $16,471.14 is Catering Sales</t>
  </si>
  <si>
    <t>Other Special Revenue from Local Sources of $42,599.85 is Private Grants</t>
  </si>
  <si>
    <t>Scholarship 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</si>
</sst>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0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909</v>
      </c>
      <c r="B2" s="21">
        <v>453</v>
      </c>
      <c r="C2" s="21">
        <v>453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984880.86+100+100</f>
        <v>985080.86</v>
      </c>
      <c r="G9" s="18">
        <v>100</v>
      </c>
      <c r="H9" s="18"/>
      <c r="I9" s="18"/>
      <c r="J9" s="67">
        <f>SUM(I438)</f>
        <v>652935.83000000007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9351.4599999999991</v>
      </c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216118.57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44710.04</v>
      </c>
      <c r="H13" s="18">
        <v>223416.86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6507.53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1217058.42</v>
      </c>
      <c r="G19" s="41">
        <f>SUM(G9:G18)</f>
        <v>44810.04</v>
      </c>
      <c r="H19" s="41">
        <f>SUM(H9:H18)</f>
        <v>223416.86</v>
      </c>
      <c r="I19" s="41">
        <f>SUM(I9:I18)</f>
        <v>0</v>
      </c>
      <c r="J19" s="41">
        <f>SUM(J9:J18)</f>
        <v>652935.83000000007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36939.919999999998</v>
      </c>
      <c r="H22" s="18">
        <v>179178.65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613381.59+3255.9</f>
        <v>616637.49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103752.96000000001</v>
      </c>
      <c r="G28" s="18"/>
      <c r="H28" s="18">
        <v>2179.9499999999998</v>
      </c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887.18+3998.04+88104.6</f>
        <v>92989.82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7870.12</v>
      </c>
      <c r="H30" s="18">
        <v>42058.26</v>
      </c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813380.27</v>
      </c>
      <c r="G32" s="41">
        <f>SUM(G22:G31)</f>
        <v>44810.04</v>
      </c>
      <c r="H32" s="41">
        <f>SUM(H22:H31)</f>
        <v>223416.86000000002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652935.83000000007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v>9831.39</v>
      </c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397102.66-3255.9</f>
        <v>393846.75999999995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403678.14999999997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652935.83000000007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1217058.42</v>
      </c>
      <c r="G51" s="41">
        <f>G50+G32</f>
        <v>44810.04</v>
      </c>
      <c r="H51" s="41">
        <f>H50+H32</f>
        <v>223416.86000000002</v>
      </c>
      <c r="I51" s="41">
        <f>I50+I32</f>
        <v>0</v>
      </c>
      <c r="J51" s="41">
        <f>J50+J32</f>
        <v>652935.83000000007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11241548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>
        <v>37804</v>
      </c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11279352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42054.42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4979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59345.9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19232.77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125612.09000000001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564.42999999999995</v>
      </c>
      <c r="G95" s="18"/>
      <c r="H95" s="18"/>
      <c r="I95" s="18"/>
      <c r="J95" s="18">
        <v>11789.04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179987.55+11507.15+119205.82</f>
        <v>310700.52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1150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f>4.8+71.4</f>
        <v>76.2</v>
      </c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>
        <f>140</f>
        <v>140</v>
      </c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>
        <f>583.86</f>
        <v>583.86</v>
      </c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/>
      <c r="G109" s="18">
        <v>16471.14</v>
      </c>
      <c r="H109" s="18">
        <v>42599.85</v>
      </c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2514.4899999999998</v>
      </c>
      <c r="G110" s="41">
        <f>SUM(G95:G109)</f>
        <v>327171.66000000003</v>
      </c>
      <c r="H110" s="41">
        <f>SUM(H95:H109)</f>
        <v>42599.85</v>
      </c>
      <c r="I110" s="41">
        <f>SUM(I95:I109)</f>
        <v>0</v>
      </c>
      <c r="J110" s="41">
        <f>SUM(J95:J109)</f>
        <v>11789.04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11407478.58</v>
      </c>
      <c r="G111" s="41">
        <f>G59+G110</f>
        <v>327171.66000000003</v>
      </c>
      <c r="H111" s="41">
        <f>H59+H78+H93+H110</f>
        <v>42599.85</v>
      </c>
      <c r="I111" s="41">
        <f>I59+I110</f>
        <v>0</v>
      </c>
      <c r="J111" s="41">
        <f>J59+J110</f>
        <v>11789.04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5670228.1200000001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1949790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4912.88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16469.509999999998</v>
      </c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7641400.5099999998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466116.35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257176.01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15357.41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5678.69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>
        <v>1500</v>
      </c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>
        <v>6997.12</v>
      </c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747146.89</v>
      </c>
      <c r="G135" s="41">
        <f>SUM(G122:G134)</f>
        <v>5678.69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8388547.3999999994</v>
      </c>
      <c r="G139" s="41">
        <f>G120+SUM(G135:G136)</f>
        <v>5678.69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323268.96000000002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365427.21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230585.35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368069.33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236184.01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166559.4</v>
      </c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402743.41000000003</v>
      </c>
      <c r="G161" s="41">
        <f>SUM(G149:G160)</f>
        <v>230585.35</v>
      </c>
      <c r="H161" s="41">
        <f>SUM(H149:H160)</f>
        <v>1056765.5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402743.41000000003</v>
      </c>
      <c r="G168" s="41">
        <f>G146+G161+SUM(G162:G167)</f>
        <v>230585.35</v>
      </c>
      <c r="H168" s="41">
        <f>H146+H161+SUM(H162:H167)</f>
        <v>1056765.5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11216.31</v>
      </c>
      <c r="H178" s="18"/>
      <c r="I178" s="18"/>
      <c r="J178" s="18">
        <v>195000</v>
      </c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>
        <v>30164.62</v>
      </c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30164.62</v>
      </c>
      <c r="G182" s="41">
        <f>SUM(G178:G181)</f>
        <v>11216.31</v>
      </c>
      <c r="H182" s="41">
        <f>SUM(H178:H181)</f>
        <v>0</v>
      </c>
      <c r="I182" s="41">
        <f>SUM(I178:I181)</f>
        <v>0</v>
      </c>
      <c r="J182" s="41">
        <f>SUM(J178:J181)</f>
        <v>195000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30164.62</v>
      </c>
      <c r="G191" s="41">
        <f>G182+SUM(G187:G190)</f>
        <v>11216.31</v>
      </c>
      <c r="H191" s="41">
        <f>+H182+SUM(H187:H190)</f>
        <v>0</v>
      </c>
      <c r="I191" s="41">
        <f>I176+I182+SUM(I187:I190)</f>
        <v>0</v>
      </c>
      <c r="J191" s="41">
        <f>J182</f>
        <v>195000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20228934.010000002</v>
      </c>
      <c r="G192" s="47">
        <f>G111+G139+G168+G191</f>
        <v>574652.01000000013</v>
      </c>
      <c r="H192" s="47">
        <f>H111+H139+H168+H191</f>
        <v>1099365.3500000001</v>
      </c>
      <c r="I192" s="47">
        <f>I111+I139+I168+I191</f>
        <v>0</v>
      </c>
      <c r="J192" s="47">
        <f>J111+J139+J191</f>
        <v>206789.04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1589265.45+47608.15</f>
        <v>1636873.5999999999</v>
      </c>
      <c r="G196" s="18">
        <f>831914.97+70180.57</f>
        <v>902095.54</v>
      </c>
      <c r="H196" s="18">
        <f>4745+15605.37</f>
        <v>20350.370000000003</v>
      </c>
      <c r="I196" s="18">
        <f>73322.9</f>
        <v>73322.899999999994</v>
      </c>
      <c r="J196" s="18">
        <f>4321.98</f>
        <v>4321.9799999999996</v>
      </c>
      <c r="K196" s="18">
        <f>103.42</f>
        <v>103.42</v>
      </c>
      <c r="L196" s="19">
        <f>SUM(F196:K196)</f>
        <v>2637067.8099999996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567393.82+60633.93</f>
        <v>628027.75</v>
      </c>
      <c r="G197" s="18">
        <f>342901.48+15982.09</f>
        <v>358883.57</v>
      </c>
      <c r="H197" s="18">
        <f>287259.69+174123.83+382.98</f>
        <v>461766.5</v>
      </c>
      <c r="I197" s="18">
        <f>2488.29+965</f>
        <v>3453.29</v>
      </c>
      <c r="J197" s="18">
        <f>150+97.21</f>
        <v>247.20999999999998</v>
      </c>
      <c r="K197" s="18">
        <f>8138.25</f>
        <v>8138.25</v>
      </c>
      <c r="L197" s="19">
        <f>SUM(F197:K197)</f>
        <v>1460516.57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f>8056</f>
        <v>8056</v>
      </c>
      <c r="G199" s="18">
        <f>1481.41</f>
        <v>1481.41</v>
      </c>
      <c r="H199" s="18"/>
      <c r="I199" s="18"/>
      <c r="J199" s="18"/>
      <c r="K199" s="18"/>
      <c r="L199" s="19">
        <f>SUM(F199:K199)</f>
        <v>9537.41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191086.04+50140.23</f>
        <v>241226.27000000002</v>
      </c>
      <c r="G201" s="18">
        <f>97982.92+29671.99</f>
        <v>127654.91</v>
      </c>
      <c r="H201" s="18">
        <f>2977.1+578.52</f>
        <v>3555.62</v>
      </c>
      <c r="I201" s="18">
        <f>2022.86+799.91</f>
        <v>2822.77</v>
      </c>
      <c r="J201" s="18">
        <f>917</f>
        <v>917</v>
      </c>
      <c r="K201" s="18">
        <f>77</f>
        <v>77</v>
      </c>
      <c r="L201" s="19">
        <f t="shared" ref="L201:L207" si="0">SUM(F201:K201)</f>
        <v>376253.57000000007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53729.06+47144.26</f>
        <v>100873.32</v>
      </c>
      <c r="G202" s="18">
        <f>26401.23+23602.6</f>
        <v>50003.83</v>
      </c>
      <c r="H202" s="18">
        <f>10594.48+10528.51+797.96</f>
        <v>21920.949999999997</v>
      </c>
      <c r="I202" s="18">
        <f>18553.45+6288.4</f>
        <v>24841.85</v>
      </c>
      <c r="J202" s="18">
        <f>29426.65+2052.95</f>
        <v>31479.600000000002</v>
      </c>
      <c r="K202" s="18"/>
      <c r="L202" s="19">
        <f t="shared" si="0"/>
        <v>229119.55000000005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157692.14</f>
        <v>157692.14000000001</v>
      </c>
      <c r="G203" s="18">
        <f>71592.54</f>
        <v>71592.539999999994</v>
      </c>
      <c r="H203" s="18">
        <f>60540.38</f>
        <v>60540.38</v>
      </c>
      <c r="I203" s="18">
        <f>5910.86</f>
        <v>5910.86</v>
      </c>
      <c r="J203" s="18">
        <f>1168.99</f>
        <v>1168.99</v>
      </c>
      <c r="K203" s="18">
        <f>7015.41</f>
        <v>7015.41</v>
      </c>
      <c r="L203" s="19">
        <f t="shared" si="0"/>
        <v>303920.31999999995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f>211802.07</f>
        <v>211802.07</v>
      </c>
      <c r="G204" s="18">
        <f>122805.03</f>
        <v>122805.03</v>
      </c>
      <c r="H204" s="18">
        <f>26527.87</f>
        <v>26527.87</v>
      </c>
      <c r="I204" s="18">
        <f>1340.77</f>
        <v>1340.77</v>
      </c>
      <c r="J204" s="18"/>
      <c r="K204" s="18">
        <f>1440</f>
        <v>1440</v>
      </c>
      <c r="L204" s="19">
        <f t="shared" si="0"/>
        <v>363915.74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f>51834.2</f>
        <v>51834.2</v>
      </c>
      <c r="G205" s="18">
        <f>25636.61</f>
        <v>25636.61</v>
      </c>
      <c r="H205" s="18">
        <f>2135.18</f>
        <v>2135.1799999999998</v>
      </c>
      <c r="I205" s="18"/>
      <c r="J205" s="18"/>
      <c r="K205" s="18">
        <f>845.56</f>
        <v>845.56</v>
      </c>
      <c r="L205" s="19">
        <f t="shared" si="0"/>
        <v>80451.549999999988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125455.6+75359.86+253.45</f>
        <v>201068.91000000003</v>
      </c>
      <c r="G206" s="18">
        <f>62926.59+25497.2</f>
        <v>88423.79</v>
      </c>
      <c r="H206" s="18">
        <f>99641.11+24926.27</f>
        <v>124567.38</v>
      </c>
      <c r="I206" s="18">
        <f>122800.2+1680.65</f>
        <v>124480.84999999999</v>
      </c>
      <c r="J206" s="18">
        <f>4596.04</f>
        <v>4596.04</v>
      </c>
      <c r="K206" s="18"/>
      <c r="L206" s="19">
        <f t="shared" si="0"/>
        <v>543136.97000000009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2691.25+136601.6+229758.03</f>
        <v>369050.88</v>
      </c>
      <c r="I207" s="18"/>
      <c r="J207" s="18"/>
      <c r="K207" s="18"/>
      <c r="L207" s="19">
        <f t="shared" si="0"/>
        <v>369050.88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>
        <f>945.69</f>
        <v>945.69</v>
      </c>
      <c r="I208" s="18"/>
      <c r="J208" s="18"/>
      <c r="K208" s="18"/>
      <c r="L208" s="19">
        <f>SUM(F208:K208)</f>
        <v>945.69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3237454.26</v>
      </c>
      <c r="G210" s="41">
        <f t="shared" si="1"/>
        <v>1748577.2300000002</v>
      </c>
      <c r="H210" s="41">
        <f t="shared" si="1"/>
        <v>1091360.8199999998</v>
      </c>
      <c r="I210" s="41">
        <f t="shared" si="1"/>
        <v>236173.28999999998</v>
      </c>
      <c r="J210" s="41">
        <f t="shared" si="1"/>
        <v>42730.82</v>
      </c>
      <c r="K210" s="41">
        <f t="shared" si="1"/>
        <v>17619.640000000003</v>
      </c>
      <c r="L210" s="41">
        <f t="shared" si="1"/>
        <v>6373916.0600000005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f>1602479.35+43883.36</f>
        <v>1646362.7100000002</v>
      </c>
      <c r="G214" s="18">
        <f>822699.86+64689.74</f>
        <v>887389.6</v>
      </c>
      <c r="H214" s="18">
        <f>2065.45+14384.42</f>
        <v>16449.87</v>
      </c>
      <c r="I214" s="18">
        <f>58078.62</f>
        <v>58078.62</v>
      </c>
      <c r="J214" s="18">
        <f>8356.91</f>
        <v>8356.91</v>
      </c>
      <c r="K214" s="18"/>
      <c r="L214" s="19">
        <f>SUM(F214:K214)</f>
        <v>2616637.7100000004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f>564489.93+55890.02</f>
        <v>620379.95000000007</v>
      </c>
      <c r="G215" s="18">
        <f>360715.84+14731.68</f>
        <v>375447.52</v>
      </c>
      <c r="H215" s="18">
        <f>212865.98+160500.63+353.02</f>
        <v>373719.63</v>
      </c>
      <c r="I215" s="18">
        <f>1286.01+889.5</f>
        <v>2175.5100000000002</v>
      </c>
      <c r="J215" s="18">
        <f>89.6</f>
        <v>89.6</v>
      </c>
      <c r="K215" s="18">
        <f>7501.52</f>
        <v>7501.52</v>
      </c>
      <c r="L215" s="19">
        <f>SUM(F215:K215)</f>
        <v>1379313.7300000002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f>33582.96</f>
        <v>33582.959999999999</v>
      </c>
      <c r="G217" s="18">
        <f>5309.5</f>
        <v>5309.5</v>
      </c>
      <c r="H217" s="18">
        <f>5060</f>
        <v>5060</v>
      </c>
      <c r="I217" s="18">
        <f>1317.95</f>
        <v>1317.95</v>
      </c>
      <c r="J217" s="18"/>
      <c r="K217" s="18"/>
      <c r="L217" s="19">
        <f>SUM(F217:K217)</f>
        <v>45270.409999999996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2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f>261315.54+46217.32</f>
        <v>307532.86</v>
      </c>
      <c r="G219" s="18">
        <f>144051.44+27350.5</f>
        <v>171401.94</v>
      </c>
      <c r="H219" s="18">
        <f>533.26</f>
        <v>533.26</v>
      </c>
      <c r="I219" s="18">
        <f>1695.12+737.33</f>
        <v>2432.4499999999998</v>
      </c>
      <c r="J219"/>
      <c r="K219" s="18"/>
      <c r="L219" s="19">
        <f t="shared" ref="L219:L225" si="2">SUM(F219:K219)</f>
        <v>481900.51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f>78273.38+43455.76</f>
        <v>121729.14000000001</v>
      </c>
      <c r="G220" s="18">
        <f>46490.87+21755.97</f>
        <v>68246.84</v>
      </c>
      <c r="H220" s="18">
        <f>10140.22+9704.78+735.52</f>
        <v>20580.52</v>
      </c>
      <c r="I220" s="18">
        <f>17238.55+5796.41</f>
        <v>23034.959999999999</v>
      </c>
      <c r="J220" s="18">
        <f>19390.26+1892.33</f>
        <v>21282.589999999997</v>
      </c>
      <c r="K220" s="18"/>
      <c r="L220" s="19">
        <f t="shared" si="2"/>
        <v>254874.05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f>145354.52</f>
        <v>145354.51999999999</v>
      </c>
      <c r="G221" s="18">
        <f>65991.25</f>
        <v>65991.25</v>
      </c>
      <c r="H221" s="18">
        <f>55803.79</f>
        <v>55803.79</v>
      </c>
      <c r="I221" s="18">
        <f>5448.41</f>
        <v>5448.41</v>
      </c>
      <c r="J221" s="18">
        <f>1077.53</f>
        <v>1077.53</v>
      </c>
      <c r="K221" s="18">
        <f>6466.53</f>
        <v>6466.53</v>
      </c>
      <c r="L221" s="19">
        <f t="shared" si="2"/>
        <v>280142.03000000003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f>223844.53</f>
        <v>223844.53</v>
      </c>
      <c r="G222" s="18">
        <f>120801.79</f>
        <v>120801.79</v>
      </c>
      <c r="H222" s="18">
        <f>29229.15</f>
        <v>29229.15</v>
      </c>
      <c r="I222" s="18">
        <f>3920.42</f>
        <v>3920.42</v>
      </c>
      <c r="J222" s="18"/>
      <c r="K222" s="18">
        <f>2014</f>
        <v>2014</v>
      </c>
      <c r="L222" s="19">
        <f t="shared" si="2"/>
        <v>379809.89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f>47778.77</f>
        <v>47778.77</v>
      </c>
      <c r="G223" s="18">
        <f>23630.84</f>
        <v>23630.84</v>
      </c>
      <c r="H223" s="18">
        <f>1968.14</f>
        <v>1968.14</v>
      </c>
      <c r="I223" s="18"/>
      <c r="J223" s="18"/>
      <c r="K223" s="18">
        <f>779.4</f>
        <v>779.4</v>
      </c>
      <c r="L223" s="19">
        <f t="shared" si="2"/>
        <v>74157.149999999994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f>133955.48+69463.82+233.62</f>
        <v>203652.92</v>
      </c>
      <c r="G224" s="18">
        <f>71034.25+23502.34</f>
        <v>94536.59</v>
      </c>
      <c r="H224" s="18">
        <f>58396.57+22976.07</f>
        <v>81372.639999999999</v>
      </c>
      <c r="I224" s="18">
        <f>173490.98+1549.16</f>
        <v>175040.14</v>
      </c>
      <c r="J224" s="18">
        <v>4236.45</v>
      </c>
      <c r="K224" s="18"/>
      <c r="L224" s="19">
        <f t="shared" si="2"/>
        <v>558838.74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f>5841.47+119526.4+103761.69</f>
        <v>229129.56</v>
      </c>
      <c r="I225" s="18"/>
      <c r="J225" s="18"/>
      <c r="K225" s="18"/>
      <c r="L225" s="19">
        <f t="shared" si="2"/>
        <v>229129.56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>
        <f>871.7</f>
        <v>871.7</v>
      </c>
      <c r="I226" s="18"/>
      <c r="J226" s="18"/>
      <c r="K226" s="18"/>
      <c r="L226" s="19">
        <f>SUM(F226:K226)</f>
        <v>871.7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3350218.36</v>
      </c>
      <c r="G228" s="41">
        <f>SUM(G214:G227)</f>
        <v>1812755.8700000003</v>
      </c>
      <c r="H228" s="41">
        <f>SUM(H214:H227)</f>
        <v>814718.26</v>
      </c>
      <c r="I228" s="41">
        <f>SUM(I214:I227)</f>
        <v>271448.46000000002</v>
      </c>
      <c r="J228" s="41">
        <f>SUM(J214:J227)</f>
        <v>35043.079999999994</v>
      </c>
      <c r="K228" s="41">
        <f t="shared" si="3"/>
        <v>16761.45</v>
      </c>
      <c r="L228" s="41">
        <f t="shared" si="3"/>
        <v>6300945.4800000004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f>1537113.77+39766.02</f>
        <v>1576879.79</v>
      </c>
      <c r="G232" s="18">
        <f>832737.61+58620.25</f>
        <v>891357.86</v>
      </c>
      <c r="H232" s="18">
        <f>22902.61+13034.82</f>
        <v>35937.43</v>
      </c>
      <c r="I232" s="18">
        <f>81116.8</f>
        <v>81116.800000000003</v>
      </c>
      <c r="J232" s="18">
        <f>21493.13</f>
        <v>21493.13</v>
      </c>
      <c r="K232" s="18"/>
      <c r="L232" s="19">
        <f>SUM(F232:K232)</f>
        <v>2606785.0099999998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f>506454.55+50646.17</f>
        <v>557100.72</v>
      </c>
      <c r="G233" s="18">
        <f>349447.73+13349.48</f>
        <v>362797.20999999996</v>
      </c>
      <c r="H233" s="18">
        <f>361102.58+145441.74+319.9</f>
        <v>506864.22000000003</v>
      </c>
      <c r="I233" s="18">
        <f>593.11+806.04</f>
        <v>1399.15</v>
      </c>
      <c r="J233" s="18">
        <f>81.19</f>
        <v>81.19</v>
      </c>
      <c r="K233" s="18">
        <f>6797.69</f>
        <v>6797.69</v>
      </c>
      <c r="L233" s="19">
        <f>SUM(F233:K233)</f>
        <v>1435040.1799999997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f>145141.57</f>
        <v>145141.57</v>
      </c>
      <c r="I234" s="18"/>
      <c r="J234" s="18"/>
      <c r="K234" s="18"/>
      <c r="L234" s="19">
        <f>SUM(F234:K234)</f>
        <v>145141.57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f>97051.09</f>
        <v>97051.09</v>
      </c>
      <c r="G235" s="18">
        <f>12864.86</f>
        <v>12864.86</v>
      </c>
      <c r="H235" s="18">
        <f>26742.83</f>
        <v>26742.83</v>
      </c>
      <c r="I235" s="18">
        <f>11017.27</f>
        <v>11017.27</v>
      </c>
      <c r="J235" s="18">
        <f>4489.13</f>
        <v>4489.13</v>
      </c>
      <c r="K235" s="18">
        <f>6323.29</f>
        <v>6323.29</v>
      </c>
      <c r="L235" s="19">
        <f>SUM(F235:K235)</f>
        <v>158488.47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2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f>237144.31+41881</f>
        <v>279025.31</v>
      </c>
      <c r="G237" s="18">
        <f>126804.38+24784.35</f>
        <v>151588.73000000001</v>
      </c>
      <c r="H237" s="18">
        <f>29602.35+483.22</f>
        <v>30085.57</v>
      </c>
      <c r="I237" s="18">
        <f>7471.49+668.15</f>
        <v>8139.6399999999994</v>
      </c>
      <c r="J237"/>
      <c r="K237" s="18">
        <f>260</f>
        <v>260</v>
      </c>
      <c r="L237" s="19">
        <f t="shared" ref="L237:L243" si="4">SUM(F237:K237)</f>
        <v>469099.25000000006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f>47012.21+39378.54</f>
        <v>86390.75</v>
      </c>
      <c r="G238" s="18">
        <f>25623.67+19714.73</f>
        <v>45338.399999999994</v>
      </c>
      <c r="H238" s="18">
        <f>6465.02+8794.23+666.52</f>
        <v>15925.77</v>
      </c>
      <c r="I238" s="18">
        <f>24616.66+5252.56</f>
        <v>29869.22</v>
      </c>
      <c r="J238" s="18">
        <f>27692.16+1714.79</f>
        <v>29406.95</v>
      </c>
      <c r="K238" s="18">
        <f>25</f>
        <v>25</v>
      </c>
      <c r="L238" s="19">
        <f t="shared" si="4"/>
        <v>206956.09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f>131716.71</f>
        <v>131716.71</v>
      </c>
      <c r="G239" s="18">
        <f>59799.65</f>
        <v>59799.65</v>
      </c>
      <c r="H239" s="18">
        <f>50568.02</f>
        <v>50568.02</v>
      </c>
      <c r="I239" s="18">
        <f>4937.21</f>
        <v>4937.21</v>
      </c>
      <c r="J239" s="18">
        <f>976.42</f>
        <v>976.42</v>
      </c>
      <c r="K239" s="18">
        <f>5859.82</f>
        <v>5859.82</v>
      </c>
      <c r="L239" s="19">
        <f t="shared" si="4"/>
        <v>253857.83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f>238360.34</f>
        <v>238360.34</v>
      </c>
      <c r="G240" s="18">
        <f>107746.39</f>
        <v>107746.39</v>
      </c>
      <c r="H240" s="18">
        <f>36591</f>
        <v>36591</v>
      </c>
      <c r="I240" s="18">
        <f>3400.28</f>
        <v>3400.28</v>
      </c>
      <c r="J240" s="18">
        <f>1227.13</f>
        <v>1227.1300000000001</v>
      </c>
      <c r="K240" s="18">
        <f>4088</f>
        <v>4088</v>
      </c>
      <c r="L240" s="19">
        <f t="shared" si="4"/>
        <v>391413.14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f>43295.95</f>
        <v>43295.95</v>
      </c>
      <c r="G241" s="18">
        <f>21413.68</f>
        <v>21413.68</v>
      </c>
      <c r="H241" s="18">
        <f>1783.48</f>
        <v>1783.48</v>
      </c>
      <c r="I241" s="18"/>
      <c r="J241" s="18"/>
      <c r="K241" s="18">
        <f>706.28</f>
        <v>706.28</v>
      </c>
      <c r="L241" s="19">
        <f t="shared" si="4"/>
        <v>67199.39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f>121063.08+62946.41-698.76+211.69</f>
        <v>183522.41999999998</v>
      </c>
      <c r="G242" s="18">
        <f>77717.22+21297.24</f>
        <v>99014.46</v>
      </c>
      <c r="H242" s="18">
        <f>85890.36+20820.36</f>
        <v>106710.72</v>
      </c>
      <c r="I242" s="18">
        <f>118375.78+1403.8</f>
        <v>119779.58</v>
      </c>
      <c r="J242" s="18">
        <f>3838.97</f>
        <v>3838.97</v>
      </c>
      <c r="K242" s="18"/>
      <c r="L242" s="19">
        <f t="shared" si="4"/>
        <v>512866.14999999997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f>31820.94+142861.2+29646.2</f>
        <v>204328.34000000003</v>
      </c>
      <c r="I243" s="18"/>
      <c r="J243" s="18"/>
      <c r="K243" s="18"/>
      <c r="L243" s="19">
        <f t="shared" si="4"/>
        <v>204328.34000000003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>
        <f>789.92</f>
        <v>789.92</v>
      </c>
      <c r="I244" s="18"/>
      <c r="J244" s="18"/>
      <c r="K244" s="18"/>
      <c r="L244" s="19">
        <f>SUM(F244:K244)</f>
        <v>789.92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3193343.0799999996</v>
      </c>
      <c r="G246" s="41">
        <f t="shared" si="5"/>
        <v>1751921.2399999995</v>
      </c>
      <c r="H246" s="41">
        <f t="shared" si="5"/>
        <v>1161468.8699999999</v>
      </c>
      <c r="I246" s="41">
        <f t="shared" si="5"/>
        <v>259659.15000000002</v>
      </c>
      <c r="J246" s="41">
        <f t="shared" si="5"/>
        <v>61512.92</v>
      </c>
      <c r="K246" s="41">
        <f t="shared" si="5"/>
        <v>24060.079999999998</v>
      </c>
      <c r="L246" s="41">
        <f t="shared" si="5"/>
        <v>6451965.3399999989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>
        <v>17819.07</v>
      </c>
      <c r="I252" s="18"/>
      <c r="J252" s="18"/>
      <c r="K252" s="18"/>
      <c r="L252" s="19">
        <f t="shared" si="6"/>
        <v>17819.07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17819.07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17819.07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9781015.6999999993</v>
      </c>
      <c r="G256" s="41">
        <f t="shared" si="8"/>
        <v>5313254.34</v>
      </c>
      <c r="H256" s="41">
        <f t="shared" si="8"/>
        <v>3085367.0199999996</v>
      </c>
      <c r="I256" s="41">
        <f t="shared" si="8"/>
        <v>767280.9</v>
      </c>
      <c r="J256" s="41">
        <f t="shared" si="8"/>
        <v>139286.82</v>
      </c>
      <c r="K256" s="41">
        <f t="shared" si="8"/>
        <v>58441.17</v>
      </c>
      <c r="L256" s="41">
        <f t="shared" si="8"/>
        <v>19144645.949999999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799494.16</v>
      </c>
      <c r="L259" s="19">
        <f>SUM(F259:K259)</f>
        <v>799494.16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241817.76</v>
      </c>
      <c r="L260" s="19">
        <f>SUM(F260:K260)</f>
        <v>241817.76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11216.31</v>
      </c>
      <c r="L262" s="19">
        <f>SUM(F262:K262)</f>
        <v>11216.31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195000</v>
      </c>
      <c r="L265" s="19">
        <f t="shared" si="9"/>
        <v>195000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1247528.23</v>
      </c>
      <c r="L269" s="41">
        <f t="shared" si="9"/>
        <v>1247528.23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9781015.6999999993</v>
      </c>
      <c r="G270" s="42">
        <f t="shared" si="11"/>
        <v>5313254.34</v>
      </c>
      <c r="H270" s="42">
        <f t="shared" si="11"/>
        <v>3085367.0199999996</v>
      </c>
      <c r="I270" s="42">
        <f t="shared" si="11"/>
        <v>767280.9</v>
      </c>
      <c r="J270" s="42">
        <f t="shared" si="11"/>
        <v>139286.82</v>
      </c>
      <c r="K270" s="42">
        <f t="shared" si="11"/>
        <v>1305969.3999999999</v>
      </c>
      <c r="L270" s="42">
        <f t="shared" si="11"/>
        <v>20392174.18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161222.09+7034.3</f>
        <v>168256.38999999998</v>
      </c>
      <c r="G275" s="18">
        <f>47397.23+679.23</f>
        <v>48076.460000000006</v>
      </c>
      <c r="H275" s="18">
        <f>27090.51</f>
        <v>27090.51</v>
      </c>
      <c r="I275" s="18">
        <f>1894.25</f>
        <v>1894.25</v>
      </c>
      <c r="J275" s="18"/>
      <c r="K275" s="18"/>
      <c r="L275" s="19">
        <f>SUM(F275:K275)</f>
        <v>245317.61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97610+10995.49</f>
        <v>108605.49</v>
      </c>
      <c r="G276" s="18">
        <f>62615.41+2318.1</f>
        <v>64933.51</v>
      </c>
      <c r="H276" s="18"/>
      <c r="I276" s="18">
        <f>1499.05+950.69</f>
        <v>2449.7399999999998</v>
      </c>
      <c r="J276" s="18">
        <f>2195.52</f>
        <v>2195.52</v>
      </c>
      <c r="K276" s="18"/>
      <c r="L276" s="19">
        <f>SUM(F276:K276)</f>
        <v>178184.25999999998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>
        <f>3646.39</f>
        <v>3646.39</v>
      </c>
      <c r="K280" s="18"/>
      <c r="L280" s="19">
        <f t="shared" ref="L280:L286" si="12">SUM(F280:K280)</f>
        <v>3646.39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f>45722.46+14080.32</f>
        <v>59802.78</v>
      </c>
      <c r="G281" s="18">
        <f>4148.53+5875.61</f>
        <v>10024.14</v>
      </c>
      <c r="H281" s="18">
        <f>13735.55+11096.44+8654.53</f>
        <v>33486.519999999997</v>
      </c>
      <c r="I281" s="18">
        <f>1380+3539+7342.76</f>
        <v>12261.76</v>
      </c>
      <c r="J281" s="18">
        <f>8557.72</f>
        <v>8557.7199999999993</v>
      </c>
      <c r="K281" s="18"/>
      <c r="L281" s="19">
        <f t="shared" si="12"/>
        <v>124132.92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>
        <f>6601.33</f>
        <v>6601.33</v>
      </c>
      <c r="I286" s="18"/>
      <c r="J286" s="18"/>
      <c r="K286" s="18"/>
      <c r="L286" s="19">
        <f t="shared" si="12"/>
        <v>6601.33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336664.66000000003</v>
      </c>
      <c r="G289" s="42">
        <f t="shared" si="13"/>
        <v>123034.11</v>
      </c>
      <c r="H289" s="42">
        <f t="shared" si="13"/>
        <v>67178.36</v>
      </c>
      <c r="I289" s="42">
        <f t="shared" si="13"/>
        <v>16605.75</v>
      </c>
      <c r="J289" s="42">
        <f t="shared" si="13"/>
        <v>14399.63</v>
      </c>
      <c r="K289" s="42">
        <f t="shared" si="13"/>
        <v>0</v>
      </c>
      <c r="L289" s="41">
        <f t="shared" si="13"/>
        <v>557882.51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f>34560</f>
        <v>34560</v>
      </c>
      <c r="G294" s="18">
        <f>6549.12</f>
        <v>6549.12</v>
      </c>
      <c r="H294" s="18">
        <f>27090.51</f>
        <v>27090.51</v>
      </c>
      <c r="I294" s="18"/>
      <c r="J294" s="18"/>
      <c r="K294" s="18"/>
      <c r="L294" s="19">
        <f>SUM(F294:K294)</f>
        <v>68199.63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f>10135.22</f>
        <v>10135.219999999999</v>
      </c>
      <c r="G295" s="18">
        <f>2136.73</f>
        <v>2136.73</v>
      </c>
      <c r="H295" s="18"/>
      <c r="I295" s="18">
        <f>1711.32+876.31</f>
        <v>2587.63</v>
      </c>
      <c r="J295" s="18"/>
      <c r="K295" s="18"/>
      <c r="L295" s="19">
        <f>SUM(F295:K295)</f>
        <v>14859.579999999998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>
        <f>6856</f>
        <v>6856</v>
      </c>
      <c r="G297" s="18">
        <f>663.42</f>
        <v>663.42</v>
      </c>
      <c r="H297" s="18"/>
      <c r="I297" s="18"/>
      <c r="J297" s="18"/>
      <c r="K297" s="18"/>
      <c r="L297" s="19">
        <f>SUM(F297:K297)</f>
        <v>7519.42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f>50951.67+12978.7</f>
        <v>63930.369999999995</v>
      </c>
      <c r="G300" s="18">
        <f>6176.18+5415.91</f>
        <v>11592.09</v>
      </c>
      <c r="H300" s="18">
        <f>15563.32+10228.26+7977.42</f>
        <v>33769</v>
      </c>
      <c r="I300" s="18">
        <f>3539+6768.28</f>
        <v>10307.279999999999</v>
      </c>
      <c r="J300" s="18">
        <f>12301.39</f>
        <v>12301.39</v>
      </c>
      <c r="K300" s="18"/>
      <c r="L300" s="19">
        <f t="shared" si="14"/>
        <v>131900.13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>
        <f>120.2+6084.85</f>
        <v>6205.05</v>
      </c>
      <c r="I305" s="18"/>
      <c r="J305" s="18"/>
      <c r="K305" s="18"/>
      <c r="L305" s="19">
        <f t="shared" si="14"/>
        <v>6205.05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115481.59</v>
      </c>
      <c r="G308" s="42">
        <f t="shared" si="15"/>
        <v>20941.36</v>
      </c>
      <c r="H308" s="42">
        <f t="shared" si="15"/>
        <v>67064.56</v>
      </c>
      <c r="I308" s="42">
        <f t="shared" si="15"/>
        <v>12894.91</v>
      </c>
      <c r="J308" s="42">
        <f t="shared" si="15"/>
        <v>12301.39</v>
      </c>
      <c r="K308" s="42">
        <f t="shared" si="15"/>
        <v>0</v>
      </c>
      <c r="L308" s="41">
        <f t="shared" si="15"/>
        <v>228683.81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f>9120</f>
        <v>9120</v>
      </c>
      <c r="G313" s="18">
        <f>1728.24</f>
        <v>1728.24</v>
      </c>
      <c r="H313" s="18"/>
      <c r="I313" s="18">
        <f>4611.8</f>
        <v>4611.8</v>
      </c>
      <c r="J313" s="18"/>
      <c r="K313" s="18"/>
      <c r="L313" s="19">
        <f>SUM(F313:K313)</f>
        <v>15460.04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f>92158+9184.28</f>
        <v>101342.28</v>
      </c>
      <c r="G314" s="18">
        <f>52627.56+1936.26</f>
        <v>54563.82</v>
      </c>
      <c r="H314" s="18"/>
      <c r="I314" s="18">
        <f>794.09</f>
        <v>794.09</v>
      </c>
      <c r="J314" s="18"/>
      <c r="K314" s="18"/>
      <c r="L314" s="19">
        <f>SUM(F314:K314)</f>
        <v>156700.19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>
        <f>145+2400</f>
        <v>2545</v>
      </c>
      <c r="I318" s="18">
        <f>144.48</f>
        <v>144.47999999999999</v>
      </c>
      <c r="J318" s="18"/>
      <c r="K318" s="18"/>
      <c r="L318" s="19">
        <f t="shared" ref="L318:L324" si="16">SUM(F318:K318)</f>
        <v>2689.48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f>32724.99+11760.98</f>
        <v>44485.97</v>
      </c>
      <c r="G319" s="18">
        <f>4016.64+4907.76</f>
        <v>8924.4</v>
      </c>
      <c r="H319" s="18">
        <f>22497.2+9268.6+7228.94</f>
        <v>38994.740000000005</v>
      </c>
      <c r="I319" s="18">
        <f>1224.69+6133.25</f>
        <v>7357.9400000000005</v>
      </c>
      <c r="J319" s="18">
        <f>2507.71</f>
        <v>2507.71</v>
      </c>
      <c r="K319" s="18"/>
      <c r="L319" s="19">
        <f t="shared" si="16"/>
        <v>102270.76000000002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>
        <f>5513.94</f>
        <v>5513.94</v>
      </c>
      <c r="I324" s="18"/>
      <c r="J324" s="18"/>
      <c r="K324" s="18"/>
      <c r="L324" s="19">
        <f t="shared" si="16"/>
        <v>5513.94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154948.25</v>
      </c>
      <c r="G327" s="42">
        <f t="shared" si="17"/>
        <v>65216.46</v>
      </c>
      <c r="H327" s="42">
        <f t="shared" si="17"/>
        <v>47053.680000000008</v>
      </c>
      <c r="I327" s="42">
        <f t="shared" si="17"/>
        <v>12908.310000000001</v>
      </c>
      <c r="J327" s="42">
        <f t="shared" si="17"/>
        <v>2507.71</v>
      </c>
      <c r="K327" s="42">
        <f t="shared" si="17"/>
        <v>0</v>
      </c>
      <c r="L327" s="41">
        <f t="shared" si="17"/>
        <v>282634.41000000003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607094.5</v>
      </c>
      <c r="G337" s="41">
        <f t="shared" si="20"/>
        <v>209191.93</v>
      </c>
      <c r="H337" s="41">
        <f t="shared" si="20"/>
        <v>181296.59999999998</v>
      </c>
      <c r="I337" s="41">
        <f t="shared" si="20"/>
        <v>42408.97</v>
      </c>
      <c r="J337" s="41">
        <f t="shared" si="20"/>
        <v>29208.729999999996</v>
      </c>
      <c r="K337" s="41">
        <f t="shared" si="20"/>
        <v>0</v>
      </c>
      <c r="L337" s="41">
        <f t="shared" si="20"/>
        <v>1069200.73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>
        <v>30164.62</v>
      </c>
      <c r="L343" s="19">
        <f t="shared" ref="L343:L349" si="21">SUM(F343:K343)</f>
        <v>30164.62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30164.62</v>
      </c>
      <c r="L350" s="41">
        <f>SUM(L340:L349)</f>
        <v>30164.62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607094.5</v>
      </c>
      <c r="G351" s="41">
        <f>G337</f>
        <v>209191.93</v>
      </c>
      <c r="H351" s="41">
        <f>H337</f>
        <v>181296.59999999998</v>
      </c>
      <c r="I351" s="41">
        <f>I337</f>
        <v>42408.97</v>
      </c>
      <c r="J351" s="41">
        <f>J337</f>
        <v>29208.729999999996</v>
      </c>
      <c r="K351" s="47">
        <f>K337+K350</f>
        <v>30164.62</v>
      </c>
      <c r="L351" s="41">
        <f>L337+L350</f>
        <v>1099365.3500000001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f>61306.21+1126.25+17894.21</f>
        <v>80326.67</v>
      </c>
      <c r="G357" s="18">
        <f>36560.04+41.48+4142.38+2050.29+3454.38</f>
        <v>46248.57</v>
      </c>
      <c r="H357" s="18">
        <f>713.5+1293.38+141.77</f>
        <v>2148.65</v>
      </c>
      <c r="I357" s="18">
        <f>5664.76+374.78+61031.06+130.69+1241.18</f>
        <v>68442.469999999987</v>
      </c>
      <c r="J357" s="18"/>
      <c r="K357" s="18">
        <f>325.35</f>
        <v>325.35000000000002</v>
      </c>
      <c r="L357" s="13">
        <f>SUM(F357:K357)</f>
        <v>197491.71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f>51491.24+395.25+16494.2</f>
        <v>68380.69</v>
      </c>
      <c r="G358" s="18">
        <f>8264.3+38.28+3806.32+2742.9+3184.12</f>
        <v>18035.919999999998</v>
      </c>
      <c r="H358" s="18">
        <f>722.87+1333.48+130.68</f>
        <v>2187.0299999999997</v>
      </c>
      <c r="I358" s="18">
        <f>5748.34+2198.95+60689.51+5468.05+120.47+1144.06</f>
        <v>75369.38</v>
      </c>
      <c r="J358" s="18"/>
      <c r="K358" s="18">
        <f>299.89</f>
        <v>299.89</v>
      </c>
      <c r="L358" s="19">
        <f>SUM(F358:K358)</f>
        <v>164272.91000000003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f>67419.43+127.5+14946.64</f>
        <v>82493.569999999992</v>
      </c>
      <c r="G359" s="18">
        <f>24683.92+38.02+4712.13+3552.93+2885.37</f>
        <v>35872.370000000003</v>
      </c>
      <c r="H359" s="18">
        <f>6572.91+1293.39+118.42</f>
        <v>7984.72</v>
      </c>
      <c r="I359" s="18">
        <f>5092.61+1993.07+70486.88+7366.54+109.16+1036.72</f>
        <v>86084.98</v>
      </c>
      <c r="J359" s="18">
        <f>179.99</f>
        <v>179.99</v>
      </c>
      <c r="K359" s="18">
        <f>271.76</f>
        <v>271.76</v>
      </c>
      <c r="L359" s="19">
        <f>SUM(F359:K359)</f>
        <v>212887.39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231200.93</v>
      </c>
      <c r="G361" s="47">
        <f t="shared" si="22"/>
        <v>100156.86</v>
      </c>
      <c r="H361" s="47">
        <f t="shared" si="22"/>
        <v>12320.400000000001</v>
      </c>
      <c r="I361" s="47">
        <f t="shared" si="22"/>
        <v>229896.82999999996</v>
      </c>
      <c r="J361" s="47">
        <f t="shared" si="22"/>
        <v>179.99</v>
      </c>
      <c r="K361" s="47">
        <f t="shared" si="22"/>
        <v>897</v>
      </c>
      <c r="L361" s="47">
        <f t="shared" si="22"/>
        <v>574652.01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f>61031.06+1241.18</f>
        <v>62272.24</v>
      </c>
      <c r="G366" s="18">
        <f>60689.51+5468.05+1144.06</f>
        <v>67301.62</v>
      </c>
      <c r="H366" s="18">
        <f>70486.88+7366.54+1036.72</f>
        <v>78890.14</v>
      </c>
      <c r="I366" s="56">
        <f>SUM(F366:H366)</f>
        <v>208464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f>5664.76+374.78+130.69</f>
        <v>6170.23</v>
      </c>
      <c r="G367" s="63">
        <f>5748.34+2198.95+120.47</f>
        <v>8067.76</v>
      </c>
      <c r="H367" s="63">
        <f>5092.61+1993.07+109.16</f>
        <v>7194.8399999999992</v>
      </c>
      <c r="I367" s="56">
        <f>SUM(F367:H367)</f>
        <v>21432.829999999998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68442.47</v>
      </c>
      <c r="G368" s="47">
        <f>SUM(G366:G367)</f>
        <v>75369.37999999999</v>
      </c>
      <c r="H368" s="47">
        <f>SUM(H366:H367)</f>
        <v>86084.98</v>
      </c>
      <c r="I368" s="47">
        <f>SUM(I366:I367)</f>
        <v>229896.83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166000</v>
      </c>
      <c r="H395" s="18">
        <v>5557.38</v>
      </c>
      <c r="I395" s="18"/>
      <c r="J395" s="24" t="s">
        <v>289</v>
      </c>
      <c r="K395" s="24" t="s">
        <v>289</v>
      </c>
      <c r="L395" s="56">
        <f t="shared" si="26"/>
        <v>171557.38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3234.73</v>
      </c>
      <c r="I396" s="18"/>
      <c r="J396" s="24" t="s">
        <v>289</v>
      </c>
      <c r="K396" s="24" t="s">
        <v>289</v>
      </c>
      <c r="L396" s="56">
        <f t="shared" si="26"/>
        <v>3234.73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>
        <v>29000</v>
      </c>
      <c r="H398" s="18">
        <v>1370.28</v>
      </c>
      <c r="I398" s="18"/>
      <c r="J398" s="24" t="s">
        <v>289</v>
      </c>
      <c r="K398" s="24" t="s">
        <v>289</v>
      </c>
      <c r="L398" s="56">
        <f t="shared" si="26"/>
        <v>30370.28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>
        <f>395.1+326.17</f>
        <v>721.27</v>
      </c>
      <c r="I399" s="18"/>
      <c r="J399" s="24" t="s">
        <v>289</v>
      </c>
      <c r="K399" s="24" t="s">
        <v>289</v>
      </c>
      <c r="L399" s="56">
        <f t="shared" si="26"/>
        <v>721.27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195000</v>
      </c>
      <c r="H400" s="47">
        <f>SUM(H394:H399)</f>
        <v>10883.660000000002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205883.66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 t="s">
        <v>915</v>
      </c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>
        <v>905.38</v>
      </c>
      <c r="I402" s="18"/>
      <c r="J402" s="24" t="s">
        <v>289</v>
      </c>
      <c r="K402" s="24" t="s">
        <v>289</v>
      </c>
      <c r="L402" s="56">
        <f>SUM(F402:K402)</f>
        <v>905.38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905.38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905.38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195000</v>
      </c>
      <c r="H407" s="47">
        <f>H392+H400+H406</f>
        <v>11789.04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206789.04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 t="s">
        <v>287</v>
      </c>
      <c r="I421" s="18"/>
      <c r="J421" s="18">
        <v>132108</v>
      </c>
      <c r="K421" s="18"/>
      <c r="L421" s="56">
        <f t="shared" si="29"/>
        <v>132108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>
        <v>19002</v>
      </c>
      <c r="K424" s="18"/>
      <c r="L424" s="56">
        <f t="shared" si="29"/>
        <v>19002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151110</v>
      </c>
      <c r="K426" s="47">
        <f t="shared" si="30"/>
        <v>0</v>
      </c>
      <c r="L426" s="47">
        <f t="shared" si="30"/>
        <v>151110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 t="s">
        <v>923</v>
      </c>
      <c r="B428" s="6">
        <v>17</v>
      </c>
      <c r="C428" s="6">
        <v>15</v>
      </c>
      <c r="D428" s="2" t="s">
        <v>433</v>
      </c>
      <c r="E428" s="6"/>
      <c r="F428" s="18"/>
      <c r="G428" s="18"/>
      <c r="H428" s="18">
        <v>6500</v>
      </c>
      <c r="I428" s="18"/>
      <c r="J428" s="18"/>
      <c r="K428" s="18"/>
      <c r="L428" s="56">
        <f>SUM(F428:K428)</f>
        <v>6500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6500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6500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6500</v>
      </c>
      <c r="I433" s="47">
        <f t="shared" si="32"/>
        <v>0</v>
      </c>
      <c r="J433" s="47">
        <f t="shared" si="32"/>
        <v>151110</v>
      </c>
      <c r="K433" s="47">
        <f t="shared" si="32"/>
        <v>0</v>
      </c>
      <c r="L433" s="47">
        <f t="shared" si="32"/>
        <v>157610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>
        <v>571110.79</v>
      </c>
      <c r="H438" s="18">
        <v>81825.039999999994</v>
      </c>
      <c r="I438" s="56">
        <f t="shared" ref="I438:I444" si="33">SUM(F438:H438)</f>
        <v>652935.83000000007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571110.79</v>
      </c>
      <c r="H445" s="13">
        <f>SUM(H438:H444)</f>
        <v>81825.039999999994</v>
      </c>
      <c r="I445" s="13">
        <f>SUM(I438:I444)</f>
        <v>652935.83000000007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571110.79</v>
      </c>
      <c r="H458" s="18">
        <v>81825.039999999994</v>
      </c>
      <c r="I458" s="56">
        <f t="shared" si="34"/>
        <v>652935.83000000007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571110.79</v>
      </c>
      <c r="H459" s="83">
        <f>SUM(H453:H458)</f>
        <v>81825.039999999994</v>
      </c>
      <c r="I459" s="83">
        <f>SUM(I453:I458)</f>
        <v>652935.83000000007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571110.79</v>
      </c>
      <c r="H460" s="42">
        <f>H451+H459</f>
        <v>81825.039999999994</v>
      </c>
      <c r="I460" s="42">
        <f>I451+I459</f>
        <v>652935.83000000007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566918.31999999995</v>
      </c>
      <c r="G464" s="18">
        <v>0</v>
      </c>
      <c r="H464" s="18">
        <v>0</v>
      </c>
      <c r="I464" s="18">
        <v>0</v>
      </c>
      <c r="J464" s="18">
        <v>603756.79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20228934.010000002</v>
      </c>
      <c r="G467" s="18">
        <v>574652.01</v>
      </c>
      <c r="H467" s="18">
        <v>1099365.3500000001</v>
      </c>
      <c r="I467" s="18"/>
      <c r="J467" s="18">
        <f>195000+11789.04</f>
        <v>206789.04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 t="s">
        <v>287</v>
      </c>
      <c r="I468" s="18"/>
      <c r="J468" s="18" t="s">
        <v>287</v>
      </c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20228934.010000002</v>
      </c>
      <c r="G469" s="53">
        <f>SUM(G467:G468)</f>
        <v>574652.01</v>
      </c>
      <c r="H469" s="53">
        <f>SUM(H467:H468)</f>
        <v>1099365.3500000001</v>
      </c>
      <c r="I469" s="53">
        <f>SUM(I467:I468)</f>
        <v>0</v>
      </c>
      <c r="J469" s="53">
        <f>SUM(J467:J468)</f>
        <v>206789.04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20392174.18</v>
      </c>
      <c r="G471" s="18">
        <v>574652.01</v>
      </c>
      <c r="H471" s="18">
        <v>1099365.3500000001</v>
      </c>
      <c r="I471" s="18"/>
      <c r="J471" s="18">
        <v>157610</v>
      </c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20392174.18</v>
      </c>
      <c r="G473" s="53">
        <f>SUM(G471:G472)</f>
        <v>574652.01</v>
      </c>
      <c r="H473" s="53">
        <f>SUM(H471:H472)</f>
        <v>1099365.3500000001</v>
      </c>
      <c r="I473" s="53">
        <f>SUM(I471:I472)</f>
        <v>0</v>
      </c>
      <c r="J473" s="53">
        <f>SUM(J471:J472)</f>
        <v>157610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403678.15000000224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652935.83000000007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>
        <v>10</v>
      </c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911</v>
      </c>
      <c r="G490" s="155" t="s">
        <v>912</v>
      </c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914</v>
      </c>
      <c r="G491" s="155" t="s">
        <v>913</v>
      </c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13402490</v>
      </c>
      <c r="G492" s="18">
        <v>246250</v>
      </c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4.13</v>
      </c>
      <c r="G493" s="18">
        <v>4.3</v>
      </c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8636137.2799999993</v>
      </c>
      <c r="G494" s="18">
        <v>73875</v>
      </c>
      <c r="H494" s="18"/>
      <c r="I494" s="18"/>
      <c r="J494" s="18"/>
      <c r="K494" s="53">
        <f>SUM(F494:J494)</f>
        <v>8710012.2799999993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>
        <v>0</v>
      </c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774869.16</v>
      </c>
      <c r="G496" s="18">
        <v>24625</v>
      </c>
      <c r="H496" s="18"/>
      <c r="I496" s="18"/>
      <c r="J496" s="18"/>
      <c r="K496" s="53">
        <f t="shared" si="35"/>
        <v>799494.16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f>F494-F496</f>
        <v>7861268.1199999992</v>
      </c>
      <c r="G497" s="205">
        <f>G494-G496</f>
        <v>49250</v>
      </c>
      <c r="H497" s="205"/>
      <c r="I497" s="205"/>
      <c r="J497" s="205"/>
      <c r="K497" s="206">
        <f t="shared" si="35"/>
        <v>7910518.1199999992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6382916.8799999999</v>
      </c>
      <c r="G498" s="18">
        <v>3176.63</v>
      </c>
      <c r="H498" s="18"/>
      <c r="I498" s="18"/>
      <c r="J498" s="18"/>
      <c r="K498" s="53">
        <f t="shared" si="35"/>
        <v>6386093.5099999998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14244185</v>
      </c>
      <c r="G499" s="42">
        <f>SUM(G497:G498)</f>
        <v>52426.63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14296611.630000001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739998.95</v>
      </c>
      <c r="G500" s="205">
        <v>24625</v>
      </c>
      <c r="H500" s="205"/>
      <c r="I500" s="205"/>
      <c r="J500" s="205"/>
      <c r="K500" s="206">
        <f t="shared" si="35"/>
        <v>764623.95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278466.05</v>
      </c>
      <c r="G501" s="18">
        <v>2117.75</v>
      </c>
      <c r="H501" s="18"/>
      <c r="I501" s="18"/>
      <c r="J501" s="18"/>
      <c r="K501" s="53">
        <f t="shared" si="35"/>
        <v>280583.8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1018465</v>
      </c>
      <c r="G502" s="42">
        <f>SUM(G500:G501)</f>
        <v>26742.75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1045207.75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567393.82+43582.38+92844.14+4765.86+10971.91</f>
        <v>719558.11</v>
      </c>
      <c r="G520" s="18">
        <f>342901.48+12898.08+58980.89+3634.52+2316.3</f>
        <v>420731.27</v>
      </c>
      <c r="H520" s="18">
        <f>287259.69+153496.56+250+1169.74+382.98</f>
        <v>442558.97</v>
      </c>
      <c r="I520" s="18">
        <f>2488.29+747.35+1276.59+222.46+900+950.69</f>
        <v>6585.3799999999992</v>
      </c>
      <c r="J520" s="18">
        <f>150+97.21+3646.39+796.33</f>
        <v>4689.93</v>
      </c>
      <c r="K520" s="18">
        <f>8138.24+4832.47+63.84+8.68+499.99</f>
        <v>13543.22</v>
      </c>
      <c r="L520" s="88">
        <f>SUM(F520:K520)</f>
        <v>1607666.8799999997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f>564489.93+40172.56+10113.49</f>
        <v>614775.98</v>
      </c>
      <c r="G521" s="18">
        <f>360715.84+11888.95+2135.07</f>
        <v>374739.86000000004</v>
      </c>
      <c r="H521" s="18">
        <f>212865.98+141487.21+250+1078.21+353.02</f>
        <v>356034.42000000004</v>
      </c>
      <c r="I521" s="18">
        <f>1286.01+688.88+900+876.31</f>
        <v>3751.2</v>
      </c>
      <c r="J521" s="18">
        <f>89.6+734.03</f>
        <v>823.63</v>
      </c>
      <c r="K521" s="18">
        <f>7501.52+35.48+460.88</f>
        <v>7997.88</v>
      </c>
      <c r="L521" s="88">
        <f>SUM(F521:K521)</f>
        <v>1358122.97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f>506454.55+36403.39+92158+9164.59</f>
        <v>644180.52999999991</v>
      </c>
      <c r="G522" s="18">
        <f>349447.73+10773.47+52627.56+1934.75</f>
        <v>414783.50999999995</v>
      </c>
      <c r="H522" s="18">
        <f>361102.58+128212.23+977.05+319.9</f>
        <v>490611.76</v>
      </c>
      <c r="I522" s="18">
        <f>593.11+624.24+794.09</f>
        <v>2011.44</v>
      </c>
      <c r="J522" s="18">
        <f>81.19+144.48+665.16</f>
        <v>890.82999999999993</v>
      </c>
      <c r="K522" s="18">
        <f>6797.7+4471.74+417.64</f>
        <v>11687.079999999998</v>
      </c>
      <c r="L522" s="88">
        <f>SUM(F522:K522)</f>
        <v>1564165.15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1978514.6199999996</v>
      </c>
      <c r="G523" s="108">
        <f t="shared" ref="G523:L523" si="36">SUM(G520:G522)</f>
        <v>1210254.6400000001</v>
      </c>
      <c r="H523" s="108">
        <f t="shared" si="36"/>
        <v>1289205.1499999999</v>
      </c>
      <c r="I523" s="108">
        <f t="shared" si="36"/>
        <v>12348.019999999999</v>
      </c>
      <c r="J523" s="108">
        <f t="shared" si="36"/>
        <v>6404.39</v>
      </c>
      <c r="K523" s="108">
        <f t="shared" si="36"/>
        <v>33228.179999999993</v>
      </c>
      <c r="L523" s="89">
        <f t="shared" si="36"/>
        <v>4529955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f>44076.82+50140.22</f>
        <v>94217.040000000008</v>
      </c>
      <c r="G525" s="18">
        <f>28624.42+29671.99</f>
        <v>58296.41</v>
      </c>
      <c r="H525" s="18">
        <f>578.52</f>
        <v>578.52</v>
      </c>
      <c r="I525" s="18">
        <f>799.91+435.25</f>
        <v>1235.1599999999999</v>
      </c>
      <c r="J525" s="18"/>
      <c r="K525" s="18"/>
      <c r="L525" s="88">
        <f>SUM(F525:K525)</f>
        <v>154327.13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f>38656.8+46217.32</f>
        <v>84874.12</v>
      </c>
      <c r="G526" s="18">
        <f>25392.34+27350.5</f>
        <v>52742.84</v>
      </c>
      <c r="H526" s="18">
        <f>533.26</f>
        <v>533.26</v>
      </c>
      <c r="I526" s="18">
        <f>737.33+401.2</f>
        <v>1138.53</v>
      </c>
      <c r="J526" s="18"/>
      <c r="K526" s="18"/>
      <c r="L526" s="88">
        <f>SUM(F526:K526)</f>
        <v>139288.75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f>3682.28+41881.01</f>
        <v>45563.29</v>
      </c>
      <c r="G527" s="18">
        <f>4423.3+24784.35</f>
        <v>29207.649999999998</v>
      </c>
      <c r="H527" s="18">
        <f>483.22</f>
        <v>483.22</v>
      </c>
      <c r="I527" s="18">
        <f>668.15+363.55</f>
        <v>1031.7</v>
      </c>
      <c r="J527" s="18"/>
      <c r="K527" s="18"/>
      <c r="L527" s="88">
        <f>SUM(F527:K527)</f>
        <v>76285.86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224654.45</v>
      </c>
      <c r="G528" s="89">
        <f t="shared" ref="G528:L528" si="37">SUM(G525:G527)</f>
        <v>140246.9</v>
      </c>
      <c r="H528" s="89">
        <f t="shared" si="37"/>
        <v>1595</v>
      </c>
      <c r="I528" s="89">
        <f t="shared" si="37"/>
        <v>3405.3899999999994</v>
      </c>
      <c r="J528" s="89">
        <f t="shared" si="37"/>
        <v>0</v>
      </c>
      <c r="K528" s="89">
        <f t="shared" si="37"/>
        <v>0</v>
      </c>
      <c r="L528" s="89">
        <f t="shared" si="37"/>
        <v>369901.74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f>38791.35</f>
        <v>38791.35</v>
      </c>
      <c r="G530" s="18">
        <f>23510.98</f>
        <v>23510.98</v>
      </c>
      <c r="H530" s="18">
        <f>380.18</f>
        <v>380.18</v>
      </c>
      <c r="I530" s="18"/>
      <c r="J530" s="18"/>
      <c r="K530" s="18">
        <f>687.62</f>
        <v>687.62</v>
      </c>
      <c r="L530" s="88">
        <f>SUM(F530:K530)</f>
        <v>63370.130000000005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f>35756.38</f>
        <v>35756.379999999997</v>
      </c>
      <c r="G531" s="18">
        <f>21671.51</f>
        <v>21671.51</v>
      </c>
      <c r="H531" s="18">
        <f>350.43</f>
        <v>350.43</v>
      </c>
      <c r="I531" s="18"/>
      <c r="J531" s="18"/>
      <c r="K531" s="18">
        <f>633.82</f>
        <v>633.82000000000005</v>
      </c>
      <c r="L531" s="88">
        <f>SUM(F531:K531)</f>
        <v>58412.14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f>32401.55</f>
        <v>32401.55</v>
      </c>
      <c r="G532" s="18">
        <f>19638.19</f>
        <v>19638.189999999999</v>
      </c>
      <c r="H532" s="18">
        <f>317.55</f>
        <v>317.55</v>
      </c>
      <c r="I532" s="18"/>
      <c r="J532" s="18"/>
      <c r="K532" s="18">
        <f>574.35</f>
        <v>574.35</v>
      </c>
      <c r="L532" s="88">
        <f>SUM(F532:K532)</f>
        <v>52931.64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106949.28</v>
      </c>
      <c r="G533" s="89">
        <f t="shared" ref="G533:L533" si="38">SUM(G530:G532)</f>
        <v>64820.679999999993</v>
      </c>
      <c r="H533" s="89">
        <f t="shared" si="38"/>
        <v>1048.1600000000001</v>
      </c>
      <c r="I533" s="89">
        <f t="shared" si="38"/>
        <v>0</v>
      </c>
      <c r="J533" s="89">
        <f t="shared" si="38"/>
        <v>0</v>
      </c>
      <c r="K533" s="89">
        <f t="shared" si="38"/>
        <v>1895.79</v>
      </c>
      <c r="L533" s="89">
        <f t="shared" si="38"/>
        <v>174713.91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20627.27</v>
      </c>
      <c r="I535" s="18"/>
      <c r="J535" s="18"/>
      <c r="K535" s="18"/>
      <c r="L535" s="88">
        <f>SUM(F535:K535)</f>
        <v>20627.27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>
        <v>19013.43</v>
      </c>
      <c r="I536" s="18"/>
      <c r="J536" s="18"/>
      <c r="K536" s="18"/>
      <c r="L536" s="88">
        <f>SUM(F536:K536)</f>
        <v>19013.43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17229.5</v>
      </c>
      <c r="I537" s="18"/>
      <c r="J537" s="18"/>
      <c r="K537" s="18"/>
      <c r="L537" s="88">
        <f>SUM(F537:K537)</f>
        <v>17229.5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56870.2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56870.2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229758.03</v>
      </c>
      <c r="I540" s="18"/>
      <c r="J540" s="18"/>
      <c r="K540" s="18"/>
      <c r="L540" s="88">
        <f>SUM(F540:K540)</f>
        <v>229758.03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103761.69</v>
      </c>
      <c r="I541" s="18"/>
      <c r="J541" s="18"/>
      <c r="K541" s="18"/>
      <c r="L541" s="88">
        <f>SUM(F541:K541)</f>
        <v>103761.69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29646.2</v>
      </c>
      <c r="I542" s="18"/>
      <c r="J542" s="18"/>
      <c r="K542" s="18"/>
      <c r="L542" s="88">
        <f>SUM(F542:K542)</f>
        <v>29646.2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363165.92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363165.92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2310118.3499999996</v>
      </c>
      <c r="G544" s="89">
        <f t="shared" ref="G544:L544" si="41">G523+G528+G533+G538+G543</f>
        <v>1415322.22</v>
      </c>
      <c r="H544" s="89">
        <f t="shared" si="41"/>
        <v>1711884.4299999997</v>
      </c>
      <c r="I544" s="89">
        <f t="shared" si="41"/>
        <v>15753.409999999998</v>
      </c>
      <c r="J544" s="89">
        <f t="shared" si="41"/>
        <v>6404.39</v>
      </c>
      <c r="K544" s="89">
        <f t="shared" si="41"/>
        <v>35123.969999999994</v>
      </c>
      <c r="L544" s="89">
        <f t="shared" si="41"/>
        <v>5494606.7700000005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1607666.8799999997</v>
      </c>
      <c r="G548" s="87">
        <f>L525</f>
        <v>154327.13</v>
      </c>
      <c r="H548" s="87">
        <f>L530</f>
        <v>63370.130000000005</v>
      </c>
      <c r="I548" s="87">
        <f>L535</f>
        <v>20627.27</v>
      </c>
      <c r="J548" s="87">
        <f>L540</f>
        <v>229758.03</v>
      </c>
      <c r="K548" s="87">
        <f>SUM(F548:J548)</f>
        <v>2075749.4399999997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1358122.97</v>
      </c>
      <c r="G549" s="87">
        <f>L526</f>
        <v>139288.75</v>
      </c>
      <c r="H549" s="87">
        <f>L531</f>
        <v>58412.14</v>
      </c>
      <c r="I549" s="87">
        <f>L536</f>
        <v>19013.43</v>
      </c>
      <c r="J549" s="87">
        <f>L541</f>
        <v>103761.69</v>
      </c>
      <c r="K549" s="87">
        <f>SUM(F549:J549)</f>
        <v>1678598.9799999997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1564165.15</v>
      </c>
      <c r="G550" s="87">
        <f>L527</f>
        <v>76285.86</v>
      </c>
      <c r="H550" s="87">
        <f>L532</f>
        <v>52931.64</v>
      </c>
      <c r="I550" s="87">
        <f>L537</f>
        <v>17229.5</v>
      </c>
      <c r="J550" s="87">
        <f>L542</f>
        <v>29646.2</v>
      </c>
      <c r="K550" s="87">
        <f>SUM(F550:J550)</f>
        <v>1740258.3499999999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4529955</v>
      </c>
      <c r="G551" s="89">
        <f t="shared" si="42"/>
        <v>369901.74</v>
      </c>
      <c r="H551" s="89">
        <f t="shared" si="42"/>
        <v>174713.91</v>
      </c>
      <c r="I551" s="89">
        <f t="shared" si="42"/>
        <v>56870.2</v>
      </c>
      <c r="J551" s="89">
        <f t="shared" si="42"/>
        <v>363165.92</v>
      </c>
      <c r="K551" s="89">
        <f t="shared" si="42"/>
        <v>5494606.7699999996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f>17051.55</f>
        <v>17051.55</v>
      </c>
      <c r="G561" s="18">
        <f>3084.02</f>
        <v>3084.02</v>
      </c>
      <c r="H561" s="18"/>
      <c r="I561" s="18">
        <f>217.65</f>
        <v>217.65</v>
      </c>
      <c r="J561" s="18"/>
      <c r="K561" s="18"/>
      <c r="L561" s="88">
        <f>SUM(F561:K561)</f>
        <v>20353.22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f>15717.46</f>
        <v>15717.46</v>
      </c>
      <c r="G562" s="18">
        <f>2842.73</f>
        <v>2842.73</v>
      </c>
      <c r="H562" s="18"/>
      <c r="I562" s="18">
        <f>200.62</f>
        <v>200.62</v>
      </c>
      <c r="J562" s="18"/>
      <c r="K562" s="18"/>
      <c r="L562" s="88">
        <f>SUM(F562:K562)</f>
        <v>18760.809999999998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f>14242.78</f>
        <v>14242.78</v>
      </c>
      <c r="G563" s="18">
        <f>2576</f>
        <v>2576</v>
      </c>
      <c r="H563" s="18"/>
      <c r="I563" s="18">
        <f>181.8</f>
        <v>181.8</v>
      </c>
      <c r="J563" s="18"/>
      <c r="K563" s="18"/>
      <c r="L563" s="88">
        <f>SUM(F563:K563)</f>
        <v>17000.579999999998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47011.789999999994</v>
      </c>
      <c r="G564" s="89">
        <f t="shared" si="44"/>
        <v>8502.75</v>
      </c>
      <c r="H564" s="89">
        <f t="shared" si="44"/>
        <v>0</v>
      </c>
      <c r="I564" s="89">
        <f t="shared" si="44"/>
        <v>600.06999999999994</v>
      </c>
      <c r="J564" s="89">
        <f t="shared" si="44"/>
        <v>0</v>
      </c>
      <c r="K564" s="89">
        <f t="shared" si="44"/>
        <v>0</v>
      </c>
      <c r="L564" s="89">
        <f t="shared" si="44"/>
        <v>56114.61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 t="s">
        <v>287</v>
      </c>
      <c r="G566" s="18" t="s">
        <v>287</v>
      </c>
      <c r="H566" s="18"/>
      <c r="I566" s="18" t="s">
        <v>287</v>
      </c>
      <c r="J566" s="18"/>
      <c r="K566" s="18"/>
      <c r="L566" s="88">
        <f>SUM(F566:K566)</f>
        <v>0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 t="s">
        <v>287</v>
      </c>
      <c r="G567" s="18" t="s">
        <v>287</v>
      </c>
      <c r="H567" s="18"/>
      <c r="I567" s="18" t="s">
        <v>287</v>
      </c>
      <c r="J567" s="18"/>
      <c r="K567" s="18"/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 t="s">
        <v>287</v>
      </c>
      <c r="G568" s="18" t="s">
        <v>287</v>
      </c>
      <c r="H568" s="18"/>
      <c r="I568" s="18" t="s">
        <v>287</v>
      </c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47011.789999999994</v>
      </c>
      <c r="G570" s="89">
        <f t="shared" ref="G570:L570" si="46">G559+G564+G569</f>
        <v>8502.75</v>
      </c>
      <c r="H570" s="89">
        <f t="shared" si="46"/>
        <v>0</v>
      </c>
      <c r="I570" s="89">
        <f t="shared" si="46"/>
        <v>600.06999999999994</v>
      </c>
      <c r="J570" s="89">
        <f t="shared" si="46"/>
        <v>0</v>
      </c>
      <c r="K570" s="89">
        <f t="shared" si="46"/>
        <v>0</v>
      </c>
      <c r="L570" s="89">
        <f t="shared" si="46"/>
        <v>56114.61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236947.7</v>
      </c>
      <c r="G581" s="18">
        <v>212865.98</v>
      </c>
      <c r="H581" s="18">
        <v>240840.45</v>
      </c>
      <c r="I581" s="87">
        <f t="shared" si="47"/>
        <v>690654.13000000012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>
        <v>50311.99</v>
      </c>
      <c r="G582" s="18"/>
      <c r="H582" s="18">
        <v>120262.13</v>
      </c>
      <c r="I582" s="87">
        <f t="shared" si="47"/>
        <v>170574.12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145141.57</v>
      </c>
      <c r="I583" s="87">
        <f t="shared" si="47"/>
        <v>145141.57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136601.60000000001</v>
      </c>
      <c r="I590" s="18">
        <v>119526.39999999999</v>
      </c>
      <c r="J590" s="18">
        <v>102451.2</v>
      </c>
      <c r="K590" s="104">
        <f t="shared" ref="K590:K596" si="48">SUM(H590:J590)</f>
        <v>358579.20000000001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229758.03</v>
      </c>
      <c r="I591" s="18">
        <v>103761.69</v>
      </c>
      <c r="J591" s="18">
        <v>29646.2</v>
      </c>
      <c r="K591" s="104">
        <f t="shared" si="48"/>
        <v>363165.92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40410</v>
      </c>
      <c r="K592" s="104">
        <f t="shared" si="48"/>
        <v>40410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4269.91</v>
      </c>
      <c r="J593" s="18">
        <v>26583.58</v>
      </c>
      <c r="K593" s="104">
        <f t="shared" si="48"/>
        <v>30853.49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2691.25</v>
      </c>
      <c r="I594" s="18">
        <v>1571.56</v>
      </c>
      <c r="J594" s="18">
        <v>5237.3599999999997</v>
      </c>
      <c r="K594" s="104">
        <f t="shared" si="48"/>
        <v>9500.1699999999983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369050.88</v>
      </c>
      <c r="I597" s="108">
        <f>SUM(I590:I596)</f>
        <v>229129.56</v>
      </c>
      <c r="J597" s="108">
        <f>SUM(J590:J596)</f>
        <v>204328.33999999997</v>
      </c>
      <c r="K597" s="108">
        <f>SUM(K590:K596)</f>
        <v>802508.78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34815.63+14399.63+7915.18</f>
        <v>57130.439999999995</v>
      </c>
      <c r="I603" s="18">
        <f>27747.17+12301.39+7295.91</f>
        <v>47344.47</v>
      </c>
      <c r="J603" s="18">
        <f>54901.55+2507.71+6611.38</f>
        <v>64020.639999999999</v>
      </c>
      <c r="K603" s="104">
        <f>SUM(H603:J603)</f>
        <v>168495.55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57130.439999999995</v>
      </c>
      <c r="I604" s="108">
        <f>SUM(I601:I603)</f>
        <v>47344.47</v>
      </c>
      <c r="J604" s="108">
        <f>SUM(J601:J603)</f>
        <v>64020.639999999999</v>
      </c>
      <c r="K604" s="108">
        <f>SUM(K601:K603)</f>
        <v>168495.55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3940</v>
      </c>
      <c r="G611" s="18">
        <v>749.22</v>
      </c>
      <c r="H611" s="18"/>
      <c r="I611" s="18"/>
      <c r="J611" s="18"/>
      <c r="K611" s="18"/>
      <c r="L611" s="88">
        <f>SUM(F611:K611)</f>
        <v>4689.22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7760</v>
      </c>
      <c r="G612" s="18">
        <v>1465.89</v>
      </c>
      <c r="H612" s="18"/>
      <c r="I612" s="18"/>
      <c r="J612" s="18"/>
      <c r="K612" s="18"/>
      <c r="L612" s="88">
        <f>SUM(F612:K612)</f>
        <v>9225.89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11700</v>
      </c>
      <c r="G613" s="108">
        <f t="shared" si="49"/>
        <v>2215.11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13915.11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1217058.42</v>
      </c>
      <c r="H616" s="109">
        <f>SUM(F51)</f>
        <v>1217058.42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44810.04</v>
      </c>
      <c r="H617" s="109">
        <f>SUM(G51)</f>
        <v>44810.04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223416.86</v>
      </c>
      <c r="H618" s="109">
        <f>SUM(H51)</f>
        <v>223416.86000000002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652935.83000000007</v>
      </c>
      <c r="H620" s="109">
        <f>SUM(J51)</f>
        <v>652935.83000000007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403678.14999999997</v>
      </c>
      <c r="H621" s="109">
        <f>F475</f>
        <v>403678.15000000224</v>
      </c>
      <c r="I621" s="121" t="s">
        <v>101</v>
      </c>
      <c r="J621" s="109">
        <f t="shared" ref="J621:J654" si="50">G621-H621</f>
        <v>-2.2700987756252289E-9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652935.83000000007</v>
      </c>
      <c r="H625" s="109">
        <f>J475</f>
        <v>652935.83000000007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20228934.010000002</v>
      </c>
      <c r="H626" s="104">
        <f>SUM(F467)</f>
        <v>20228934.010000002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574652.01000000013</v>
      </c>
      <c r="H627" s="104">
        <f>SUM(G467)</f>
        <v>574652.01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1099365.3500000001</v>
      </c>
      <c r="H628" s="104">
        <f>SUM(H467)</f>
        <v>1099365.3500000001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206789.04</v>
      </c>
      <c r="H630" s="104">
        <f>SUM(J467)</f>
        <v>206789.04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20392174.18</v>
      </c>
      <c r="H631" s="104">
        <f>SUM(F471)</f>
        <v>20392174.18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1099365.3500000001</v>
      </c>
      <c r="H632" s="104">
        <f>SUM(H471)</f>
        <v>1099365.3500000001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229896.82999999996</v>
      </c>
      <c r="H633" s="104">
        <f>I368</f>
        <v>229896.83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574652.01</v>
      </c>
      <c r="H634" s="104">
        <f>SUM(G471)</f>
        <v>574652.01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206789.04</v>
      </c>
      <c r="H636" s="164">
        <f>SUM(J467)</f>
        <v>206789.04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157610</v>
      </c>
      <c r="H637" s="164">
        <f>SUM(J471)</f>
        <v>157610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571110.79</v>
      </c>
      <c r="H639" s="104">
        <f>SUM(G460)</f>
        <v>571110.79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81825.039999999994</v>
      </c>
      <c r="H640" s="104">
        <f>SUM(H460)</f>
        <v>81825.039999999994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652935.83000000007</v>
      </c>
      <c r="H641" s="104">
        <f>SUM(I460)</f>
        <v>652935.83000000007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11789.04</v>
      </c>
      <c r="H643" s="104">
        <f>H407</f>
        <v>11789.04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195000</v>
      </c>
      <c r="H644" s="104">
        <f>G407</f>
        <v>195000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206789.04</v>
      </c>
      <c r="H645" s="104">
        <f>L407</f>
        <v>206789.04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802508.78</v>
      </c>
      <c r="H646" s="104">
        <f>L207+L225+L243</f>
        <v>802508.78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168495.55</v>
      </c>
      <c r="H647" s="104">
        <f>(J256+J337)-(J254+J335)</f>
        <v>168495.55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369050.88</v>
      </c>
      <c r="H648" s="104">
        <f>H597</f>
        <v>369050.88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229129.56</v>
      </c>
      <c r="H649" s="104">
        <f>I597</f>
        <v>229129.56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204328.34000000003</v>
      </c>
      <c r="H650" s="104">
        <f>J597</f>
        <v>204328.33999999997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11216.31</v>
      </c>
      <c r="H651" s="104">
        <f>K262+K344</f>
        <v>11216.31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195000</v>
      </c>
      <c r="H654" s="104">
        <f>K265+K346</f>
        <v>195000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7129290.2800000003</v>
      </c>
      <c r="G659" s="19">
        <f>(L228+L308+L358)</f>
        <v>6693902.2000000002</v>
      </c>
      <c r="H659" s="19">
        <f>(L246+L327+L359)</f>
        <v>6947487.1399999987</v>
      </c>
      <c r="I659" s="19">
        <f>SUM(F659:H659)</f>
        <v>20770679.619999997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112439.68431771187</v>
      </c>
      <c r="G660" s="19">
        <f>(L358/IF(SUM(L357:L359)=0,1,SUM(L357:L359))*(SUM(G96:G109)))</f>
        <v>93526.934079166647</v>
      </c>
      <c r="H660" s="19">
        <f>(L359/IF(SUM(L357:L359)=0,1,SUM(L357:L359))*(SUM(G96:G109)))</f>
        <v>121205.04160312153</v>
      </c>
      <c r="I660" s="19">
        <f>SUM(F660:H660)</f>
        <v>327171.66000000003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375652.21</v>
      </c>
      <c r="G661" s="19">
        <f>(L225+L305)-(J225+J305)</f>
        <v>235334.61</v>
      </c>
      <c r="H661" s="19">
        <f>(L243+L324)-(J243+J324)</f>
        <v>209842.28000000003</v>
      </c>
      <c r="I661" s="19">
        <f>SUM(F661:H661)</f>
        <v>820829.10000000009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344390.13</v>
      </c>
      <c r="G662" s="200">
        <f>SUM(G574:G586)+SUM(I601:I603)+L611</f>
        <v>264899.67</v>
      </c>
      <c r="H662" s="200">
        <f>SUM(H574:H586)+SUM(J601:J603)+L612</f>
        <v>579490.68000000005</v>
      </c>
      <c r="I662" s="19">
        <f>SUM(F662:H662)</f>
        <v>1188780.48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6296808.2556822887</v>
      </c>
      <c r="G663" s="19">
        <f>G659-SUM(G660:G662)</f>
        <v>6100140.9859208334</v>
      </c>
      <c r="H663" s="19">
        <f>H659-SUM(H660:H662)</f>
        <v>6036949.1383968769</v>
      </c>
      <c r="I663" s="19">
        <f>I659-SUM(I660:I662)</f>
        <v>18433898.379999995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>
        <v>491.21</v>
      </c>
      <c r="G664" s="249">
        <v>452.76</v>
      </c>
      <c r="H664" s="249">
        <v>410.35</v>
      </c>
      <c r="I664" s="19">
        <f>SUM(F664:H664)</f>
        <v>1354.3200000000002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12818.97</v>
      </c>
      <c r="G666" s="19">
        <f>ROUND(G663/G664,2)</f>
        <v>13473.23</v>
      </c>
      <c r="H666" s="19">
        <f>ROUND(H663/H664,2)</f>
        <v>14711.71</v>
      </c>
      <c r="I666" s="19">
        <f>ROUND(I663/I664,2)</f>
        <v>13611.18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-22.73</v>
      </c>
      <c r="I669" s="19">
        <f>SUM(F669:H669)</f>
        <v>-22.73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12818.97</v>
      </c>
      <c r="G671" s="19">
        <f>ROUND((G663+G668)/(G664+G669),2)</f>
        <v>13473.23</v>
      </c>
      <c r="H671" s="19">
        <f>ROUND((H663+H668)/(H664+H669),2)</f>
        <v>15574.4</v>
      </c>
      <c r="I671" s="19">
        <f>ROUND((I663+I668)/(I664+I669),2)</f>
        <v>13843.52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>&amp;CDOE 25 for 2011-2012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13" sqref="C13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RAYMOND SCHOOL DISTRICT</v>
      </c>
      <c r="C1" s="239" t="s">
        <v>839</v>
      </c>
    </row>
    <row r="2" spans="1:3" x14ac:dyDescent="0.2">
      <c r="A2" s="234"/>
      <c r="B2" s="233"/>
    </row>
    <row r="3" spans="1:3" x14ac:dyDescent="0.2">
      <c r="A3" s="276" t="s">
        <v>784</v>
      </c>
      <c r="B3" s="276"/>
      <c r="C3" s="276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5" t="s">
        <v>783</v>
      </c>
      <c r="C6" s="275"/>
    </row>
    <row r="7" spans="1:3" x14ac:dyDescent="0.2">
      <c r="A7" s="240" t="s">
        <v>786</v>
      </c>
      <c r="B7" s="273" t="s">
        <v>782</v>
      </c>
      <c r="C7" s="274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5072052.4899999993</v>
      </c>
      <c r="C9" s="230">
        <f>'DOE25'!G196+'DOE25'!G214+'DOE25'!G232+'DOE25'!G275+'DOE25'!G294+'DOE25'!G313</f>
        <v>2737196.8200000003</v>
      </c>
    </row>
    <row r="10" spans="1:3" x14ac:dyDescent="0.2">
      <c r="A10" t="s">
        <v>779</v>
      </c>
      <c r="B10" s="241">
        <v>4723360.6900000004</v>
      </c>
      <c r="C10" s="241">
        <v>2568078.6800000002</v>
      </c>
    </row>
    <row r="11" spans="1:3" x14ac:dyDescent="0.2">
      <c r="A11" t="s">
        <v>780</v>
      </c>
      <c r="B11" s="241">
        <v>173411.66</v>
      </c>
      <c r="C11" s="241">
        <v>99033.69</v>
      </c>
    </row>
    <row r="12" spans="1:3" x14ac:dyDescent="0.2">
      <c r="A12" t="s">
        <v>781</v>
      </c>
      <c r="B12" s="241">
        <v>175280.14</v>
      </c>
      <c r="C12" s="241">
        <v>70084.45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5072052.49</v>
      </c>
      <c r="C13" s="232">
        <f>SUM(C10:C12)</f>
        <v>2737196.8200000003</v>
      </c>
    </row>
    <row r="14" spans="1:3" x14ac:dyDescent="0.2">
      <c r="B14" s="231"/>
      <c r="C14" s="231"/>
    </row>
    <row r="15" spans="1:3" x14ac:dyDescent="0.2">
      <c r="B15" s="275" t="s">
        <v>783</v>
      </c>
      <c r="C15" s="275"/>
    </row>
    <row r="16" spans="1:3" x14ac:dyDescent="0.2">
      <c r="A16" s="240" t="s">
        <v>787</v>
      </c>
      <c r="B16" s="273" t="s">
        <v>707</v>
      </c>
      <c r="C16" s="274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2025591.4100000001</v>
      </c>
      <c r="C18" s="230">
        <f>'DOE25'!G197+'DOE25'!G215+'DOE25'!G233+'DOE25'!G276+'DOE25'!G295+'DOE25'!G314</f>
        <v>1218762.3600000001</v>
      </c>
    </row>
    <row r="19" spans="1:3" x14ac:dyDescent="0.2">
      <c r="A19" t="s">
        <v>779</v>
      </c>
      <c r="B19" s="241">
        <v>1318831.93</v>
      </c>
      <c r="C19" s="241">
        <v>653463.31999999995</v>
      </c>
    </row>
    <row r="20" spans="1:3" x14ac:dyDescent="0.2">
      <c r="A20" t="s">
        <v>780</v>
      </c>
      <c r="B20" s="241">
        <v>704584.48</v>
      </c>
      <c r="C20" s="241">
        <v>565132.65</v>
      </c>
    </row>
    <row r="21" spans="1:3" x14ac:dyDescent="0.2">
      <c r="A21" t="s">
        <v>781</v>
      </c>
      <c r="B21" s="241">
        <v>2175</v>
      </c>
      <c r="C21" s="241">
        <v>166.39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2025591.41</v>
      </c>
      <c r="C22" s="232">
        <f>SUM(C19:C21)</f>
        <v>1218762.3599999999</v>
      </c>
    </row>
    <row r="23" spans="1:3" x14ac:dyDescent="0.2">
      <c r="B23" s="231"/>
      <c r="C23" s="231"/>
    </row>
    <row r="24" spans="1:3" x14ac:dyDescent="0.2">
      <c r="B24" s="275" t="s">
        <v>783</v>
      </c>
      <c r="C24" s="275"/>
    </row>
    <row r="25" spans="1:3" x14ac:dyDescent="0.2">
      <c r="A25" s="240" t="s">
        <v>788</v>
      </c>
      <c r="B25" s="273" t="s">
        <v>708</v>
      </c>
      <c r="C25" s="274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 x14ac:dyDescent="0.2">
      <c r="A28" t="s">
        <v>779</v>
      </c>
      <c r="B28" s="241"/>
      <c r="C28" s="241"/>
    </row>
    <row r="29" spans="1:3" x14ac:dyDescent="0.2">
      <c r="A29" t="s">
        <v>780</v>
      </c>
      <c r="B29" s="241"/>
      <c r="C29" s="241"/>
    </row>
    <row r="30" spans="1:3" x14ac:dyDescent="0.2">
      <c r="A30" t="s">
        <v>781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5" t="s">
        <v>783</v>
      </c>
      <c r="C33" s="275"/>
    </row>
    <row r="34" spans="1:3" x14ac:dyDescent="0.2">
      <c r="A34" s="240" t="s">
        <v>789</v>
      </c>
      <c r="B34" s="273" t="s">
        <v>709</v>
      </c>
      <c r="C34" s="274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145546.04999999999</v>
      </c>
      <c r="C36" s="236">
        <f>'DOE25'!G199+'DOE25'!G217+'DOE25'!G235+'DOE25'!G278+'DOE25'!G297+'DOE25'!G316</f>
        <v>20319.189999999999</v>
      </c>
    </row>
    <row r="37" spans="1:3" x14ac:dyDescent="0.2">
      <c r="A37" t="s">
        <v>779</v>
      </c>
      <c r="B37" s="241">
        <v>80456.05</v>
      </c>
      <c r="C37" s="241">
        <v>15239.15</v>
      </c>
    </row>
    <row r="38" spans="1:3" x14ac:dyDescent="0.2">
      <c r="A38" t="s">
        <v>780</v>
      </c>
      <c r="B38" s="241">
        <v>14716.5</v>
      </c>
      <c r="C38" s="241">
        <v>1226.44</v>
      </c>
    </row>
    <row r="39" spans="1:3" x14ac:dyDescent="0.2">
      <c r="A39" t="s">
        <v>781</v>
      </c>
      <c r="B39" s="241">
        <v>50373.5</v>
      </c>
      <c r="C39" s="241">
        <v>3853.6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145546.04999999999</v>
      </c>
      <c r="C40" s="232">
        <f>SUM(C37:C39)</f>
        <v>20319.189999999999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12" activePane="bottomLeft" state="frozen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5" t="s">
        <v>790</v>
      </c>
      <c r="B1" s="280"/>
      <c r="C1" s="280"/>
      <c r="D1" s="280"/>
      <c r="E1" s="280"/>
      <c r="F1" s="280"/>
      <c r="G1" s="280"/>
      <c r="H1" s="280"/>
      <c r="I1" s="181"/>
    </row>
    <row r="2" spans="1:9" x14ac:dyDescent="0.2">
      <c r="A2" s="33" t="s">
        <v>717</v>
      </c>
      <c r="B2" s="266" t="str">
        <f>'DOE25'!A2</f>
        <v>RAYMOND SCHOOL DISTRICT</v>
      </c>
      <c r="C2" s="181"/>
      <c r="D2" s="181" t="s">
        <v>792</v>
      </c>
      <c r="E2" s="181" t="s">
        <v>794</v>
      </c>
      <c r="F2" s="277" t="s">
        <v>821</v>
      </c>
      <c r="G2" s="278"/>
      <c r="H2" s="279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12493798.870000001</v>
      </c>
      <c r="D5" s="20">
        <f>SUM('DOE25'!L196:L199)+SUM('DOE25'!L214:L217)+SUM('DOE25'!L232:L235)-F5-G5</f>
        <v>12425855.550000001</v>
      </c>
      <c r="E5" s="244"/>
      <c r="F5" s="256">
        <f>SUM('DOE25'!J196:J199)+SUM('DOE25'!J214:J217)+SUM('DOE25'!J232:J235)</f>
        <v>39079.15</v>
      </c>
      <c r="G5" s="53">
        <f>SUM('DOE25'!K196:K199)+SUM('DOE25'!K214:K217)+SUM('DOE25'!K232:K235)</f>
        <v>28864.17</v>
      </c>
      <c r="H5" s="260"/>
    </row>
    <row r="6" spans="1:9" x14ac:dyDescent="0.2">
      <c r="A6" s="32">
        <v>2100</v>
      </c>
      <c r="B6" t="s">
        <v>801</v>
      </c>
      <c r="C6" s="246">
        <f t="shared" si="0"/>
        <v>1327253.33</v>
      </c>
      <c r="D6" s="20">
        <f>'DOE25'!L201+'DOE25'!L219+'DOE25'!L237-F6-G6</f>
        <v>1325999.33</v>
      </c>
      <c r="E6" s="244"/>
      <c r="F6" s="256">
        <f>'DOE25'!J201+'DOE25'!J219+'DOE25'!J237</f>
        <v>917</v>
      </c>
      <c r="G6" s="53">
        <f>'DOE25'!K201+'DOE25'!K219+'DOE25'!K237</f>
        <v>337</v>
      </c>
      <c r="H6" s="260"/>
    </row>
    <row r="7" spans="1:9" x14ac:dyDescent="0.2">
      <c r="A7" s="32">
        <v>2200</v>
      </c>
      <c r="B7" t="s">
        <v>834</v>
      </c>
      <c r="C7" s="246">
        <f t="shared" si="0"/>
        <v>690949.69000000006</v>
      </c>
      <c r="D7" s="20">
        <f>'DOE25'!L202+'DOE25'!L220+'DOE25'!L238-F7-G7</f>
        <v>608755.55000000005</v>
      </c>
      <c r="E7" s="244"/>
      <c r="F7" s="256">
        <f>'DOE25'!J202+'DOE25'!J220+'DOE25'!J238</f>
        <v>82169.14</v>
      </c>
      <c r="G7" s="53">
        <f>'DOE25'!K202+'DOE25'!K220+'DOE25'!K238</f>
        <v>25</v>
      </c>
      <c r="H7" s="260"/>
    </row>
    <row r="8" spans="1:9" x14ac:dyDescent="0.2">
      <c r="A8" s="32">
        <v>2300</v>
      </c>
      <c r="B8" t="s">
        <v>802</v>
      </c>
      <c r="C8" s="246">
        <f t="shared" si="0"/>
        <v>497179.06</v>
      </c>
      <c r="D8" s="244"/>
      <c r="E8" s="20">
        <f>'DOE25'!L203+'DOE25'!L221+'DOE25'!L239-F8-G8-D9-D11</f>
        <v>474614.36</v>
      </c>
      <c r="F8" s="256">
        <f>'DOE25'!J203+'DOE25'!J221+'DOE25'!J239</f>
        <v>3222.94</v>
      </c>
      <c r="G8" s="53">
        <f>'DOE25'!K203+'DOE25'!K221+'DOE25'!K239</f>
        <v>19341.759999999998</v>
      </c>
      <c r="H8" s="260"/>
    </row>
    <row r="9" spans="1:9" x14ac:dyDescent="0.2">
      <c r="A9" s="32">
        <v>2310</v>
      </c>
      <c r="B9" t="s">
        <v>818</v>
      </c>
      <c r="C9" s="246">
        <f t="shared" si="0"/>
        <v>119215.11</v>
      </c>
      <c r="D9" s="245">
        <v>119215.11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16626.5</v>
      </c>
      <c r="D10" s="244"/>
      <c r="E10" s="245">
        <v>16626.5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221526.01</v>
      </c>
      <c r="D11" s="245">
        <v>221526.01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1135138.77</v>
      </c>
      <c r="D12" s="20">
        <f>'DOE25'!L204+'DOE25'!L222+'DOE25'!L240-F12-G12</f>
        <v>1126369.6400000001</v>
      </c>
      <c r="E12" s="244"/>
      <c r="F12" s="256">
        <f>'DOE25'!J204+'DOE25'!J222+'DOE25'!J240</f>
        <v>1227.1300000000001</v>
      </c>
      <c r="G12" s="53">
        <f>'DOE25'!K204+'DOE25'!K222+'DOE25'!K240</f>
        <v>7542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221808.08999999997</v>
      </c>
      <c r="D13" s="244"/>
      <c r="E13" s="20">
        <f>'DOE25'!L205+'DOE25'!L223+'DOE25'!L241-F13-G13</f>
        <v>219476.84999999998</v>
      </c>
      <c r="F13" s="256">
        <f>'DOE25'!J205+'DOE25'!J223+'DOE25'!J241</f>
        <v>0</v>
      </c>
      <c r="G13" s="53">
        <f>'DOE25'!K205+'DOE25'!K223+'DOE25'!K241</f>
        <v>2331.2399999999998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1614841.8599999999</v>
      </c>
      <c r="D14" s="20">
        <f>'DOE25'!L206+'DOE25'!L224+'DOE25'!L242-F14-G14</f>
        <v>1602170.4</v>
      </c>
      <c r="E14" s="244"/>
      <c r="F14" s="256">
        <f>'DOE25'!J206+'DOE25'!J224+'DOE25'!J242</f>
        <v>12671.46</v>
      </c>
      <c r="G14" s="53">
        <f>'DOE25'!K206+'DOE25'!K224+'DOE25'!K242</f>
        <v>0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802508.78</v>
      </c>
      <c r="D15" s="20">
        <f>'DOE25'!L207+'DOE25'!L225+'DOE25'!L243-F15-G15</f>
        <v>802508.78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2607.31</v>
      </c>
      <c r="D16" s="244"/>
      <c r="E16" s="20">
        <f>'DOE25'!L208+'DOE25'!L226+'DOE25'!L244-F16-G16</f>
        <v>2607.31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17819.07</v>
      </c>
      <c r="D19" s="20">
        <f>'DOE25'!L252-F19-G19</f>
        <v>17819.07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1041311.92</v>
      </c>
      <c r="D25" s="244"/>
      <c r="E25" s="244"/>
      <c r="F25" s="259"/>
      <c r="G25" s="257"/>
      <c r="H25" s="258">
        <f>'DOE25'!L259+'DOE25'!L260+'DOE25'!L340+'DOE25'!L341</f>
        <v>1041311.92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366188.01</v>
      </c>
      <c r="D29" s="20">
        <f>'DOE25'!L357+'DOE25'!L358+'DOE25'!L359-'DOE25'!I366-F29-G29</f>
        <v>365111.02</v>
      </c>
      <c r="E29" s="244"/>
      <c r="F29" s="256">
        <f>'DOE25'!J357+'DOE25'!J358+'DOE25'!J359</f>
        <v>179.99</v>
      </c>
      <c r="G29" s="53">
        <f>'DOE25'!K357+'DOE25'!K358+'DOE25'!K359</f>
        <v>897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1069200.73</v>
      </c>
      <c r="D31" s="20">
        <f>'DOE25'!L289+'DOE25'!L308+'DOE25'!L327+'DOE25'!L332+'DOE25'!L333+'DOE25'!L334-F31-G31</f>
        <v>1039992</v>
      </c>
      <c r="E31" s="244"/>
      <c r="F31" s="256">
        <f>'DOE25'!J289+'DOE25'!J308+'DOE25'!J327+'DOE25'!J332+'DOE25'!J333+'DOE25'!J334</f>
        <v>29208.729999999996</v>
      </c>
      <c r="G31" s="53">
        <f>'DOE25'!K289+'DOE25'!K308+'DOE25'!K327+'DOE25'!K332+'DOE25'!K333+'DOE25'!K334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19655322.460000001</v>
      </c>
      <c r="E33" s="247">
        <f>SUM(E5:E31)</f>
        <v>713325.02</v>
      </c>
      <c r="F33" s="247">
        <f>SUM(F5:F31)</f>
        <v>168675.53999999998</v>
      </c>
      <c r="G33" s="247">
        <f>SUM(G5:G31)</f>
        <v>59338.169999999991</v>
      </c>
      <c r="H33" s="247">
        <f>SUM(H5:H31)</f>
        <v>1041311.92</v>
      </c>
    </row>
    <row r="35" spans="2:8" ht="12" thickBot="1" x14ac:dyDescent="0.25">
      <c r="B35" s="254" t="s">
        <v>847</v>
      </c>
      <c r="D35" s="255">
        <f>E33</f>
        <v>713325.02</v>
      </c>
      <c r="E35" s="250"/>
    </row>
    <row r="36" spans="2:8" ht="12" thickTop="1" x14ac:dyDescent="0.2">
      <c r="B36" t="s">
        <v>815</v>
      </c>
      <c r="D36" s="20">
        <f>D33</f>
        <v>19655322.460000001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06" activePane="bottomLeft" state="frozen"/>
      <selection pane="bottomLeft" activeCell="A48" sqref="A4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RAYMOND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985080.86</v>
      </c>
      <c r="D8" s="95">
        <f>'DOE25'!G9</f>
        <v>100</v>
      </c>
      <c r="E8" s="95">
        <f>'DOE25'!H9</f>
        <v>0</v>
      </c>
      <c r="F8" s="95">
        <f>'DOE25'!I9</f>
        <v>0</v>
      </c>
      <c r="G8" s="95">
        <f>'DOE25'!J9</f>
        <v>652935.83000000007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9351.4599999999991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216118.57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44710.04</v>
      </c>
      <c r="E12" s="95">
        <f>'DOE25'!H13</f>
        <v>223416.86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6507.53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1217058.42</v>
      </c>
      <c r="D18" s="41">
        <f>SUM(D8:D17)</f>
        <v>44810.04</v>
      </c>
      <c r="E18" s="41">
        <f>SUM(E8:E17)</f>
        <v>223416.86</v>
      </c>
      <c r="F18" s="41">
        <f>SUM(F8:F17)</f>
        <v>0</v>
      </c>
      <c r="G18" s="41">
        <f>SUM(G8:G17)</f>
        <v>652935.83000000007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36939.919999999998</v>
      </c>
      <c r="E21" s="95">
        <f>'DOE25'!H22</f>
        <v>179178.65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616637.49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103752.96000000001</v>
      </c>
      <c r="D27" s="95">
        <f>'DOE25'!G28</f>
        <v>0</v>
      </c>
      <c r="E27" s="95">
        <f>'DOE25'!H28</f>
        <v>2179.9499999999998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92989.82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7870.12</v>
      </c>
      <c r="E29" s="95">
        <f>'DOE25'!H30</f>
        <v>42058.26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813380.27</v>
      </c>
      <c r="D31" s="41">
        <f>SUM(D21:D30)</f>
        <v>44810.04</v>
      </c>
      <c r="E31" s="41">
        <f>SUM(E21:E30)</f>
        <v>223416.86000000002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652935.83000000007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9831.39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393846.75999999995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403678.14999999997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652935.83000000007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1217058.42</v>
      </c>
      <c r="D50" s="41">
        <f>D49+D31</f>
        <v>44810.04</v>
      </c>
      <c r="E50" s="41">
        <f>E49+E31</f>
        <v>223416.86000000002</v>
      </c>
      <c r="F50" s="41">
        <f>F49+F31</f>
        <v>0</v>
      </c>
      <c r="G50" s="41">
        <f>G49+G31</f>
        <v>652935.83000000007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11279352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125612.09000000001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564.42999999999995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11789.04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310700.52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1950.06</v>
      </c>
      <c r="D60" s="95">
        <f>SUM('DOE25'!G97:G109)</f>
        <v>16471.14</v>
      </c>
      <c r="E60" s="95">
        <f>SUM('DOE25'!H97:H109)</f>
        <v>42599.85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128126.58</v>
      </c>
      <c r="D61" s="130">
        <f>SUM(D56:D60)</f>
        <v>327171.66000000003</v>
      </c>
      <c r="E61" s="130">
        <f>SUM(E56:E60)</f>
        <v>42599.85</v>
      </c>
      <c r="F61" s="130">
        <f>SUM(F56:F60)</f>
        <v>0</v>
      </c>
      <c r="G61" s="130">
        <f>SUM(G56:G60)</f>
        <v>11789.04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11407478.58</v>
      </c>
      <c r="D62" s="22">
        <f>D55+D61</f>
        <v>327171.66000000003</v>
      </c>
      <c r="E62" s="22">
        <f>E55+E61</f>
        <v>42599.85</v>
      </c>
      <c r="F62" s="22">
        <f>F55+F61</f>
        <v>0</v>
      </c>
      <c r="G62" s="22">
        <f>G55+G61</f>
        <v>11789.04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5670228.1200000001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1949790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4912.88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16469.509999999998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7641400.5099999998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466116.35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257176.01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15357.41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8497.119999999999</v>
      </c>
      <c r="D76" s="95">
        <f>SUM('DOE25'!G130:G134)</f>
        <v>5678.69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747146.89</v>
      </c>
      <c r="D77" s="130">
        <f>SUM(D71:D76)</f>
        <v>5678.69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8388547.3999999994</v>
      </c>
      <c r="D80" s="130">
        <f>SUM(D78:D79)+D77+D69</f>
        <v>5678.69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402743.41000000003</v>
      </c>
      <c r="D87" s="95">
        <f>SUM('DOE25'!G152:G160)</f>
        <v>230585.35</v>
      </c>
      <c r="E87" s="95">
        <f>SUM('DOE25'!H152:H160)</f>
        <v>1056765.5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402743.41000000003</v>
      </c>
      <c r="D90" s="131">
        <f>SUM(D84:D89)</f>
        <v>230585.35</v>
      </c>
      <c r="E90" s="131">
        <f>SUM(E84:E89)</f>
        <v>1056765.5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11216.31</v>
      </c>
      <c r="E95" s="95">
        <f>'DOE25'!H178</f>
        <v>0</v>
      </c>
      <c r="F95" s="95">
        <f>'DOE25'!I178</f>
        <v>0</v>
      </c>
      <c r="G95" s="95">
        <f>'DOE25'!J178</f>
        <v>195000</v>
      </c>
    </row>
    <row r="96" spans="1:9" x14ac:dyDescent="0.2">
      <c r="A96" t="s">
        <v>758</v>
      </c>
      <c r="B96" s="32" t="s">
        <v>188</v>
      </c>
      <c r="C96" s="95">
        <f>SUM('DOE25'!F179:F180)</f>
        <v>30164.62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30164.62</v>
      </c>
      <c r="D102" s="86">
        <f>SUM(D92:D101)</f>
        <v>11216.31</v>
      </c>
      <c r="E102" s="86">
        <f>SUM(E92:E101)</f>
        <v>0</v>
      </c>
      <c r="F102" s="86">
        <f>SUM(F92:F101)</f>
        <v>0</v>
      </c>
      <c r="G102" s="86">
        <f>SUM(G92:G101)</f>
        <v>195000</v>
      </c>
    </row>
    <row r="103" spans="1:7" ht="12.75" thickTop="1" thickBot="1" x14ac:dyDescent="0.25">
      <c r="A103" s="33" t="s">
        <v>765</v>
      </c>
      <c r="C103" s="86">
        <f>C62+C80+C90+C102</f>
        <v>20228934.010000002</v>
      </c>
      <c r="D103" s="86">
        <f>D62+D80+D90+D102</f>
        <v>574652.01000000013</v>
      </c>
      <c r="E103" s="86">
        <f>E62+E80+E90+E102</f>
        <v>1099365.3500000001</v>
      </c>
      <c r="F103" s="86">
        <f>F62+F80+F90+F102</f>
        <v>0</v>
      </c>
      <c r="G103" s="86">
        <f>G62+G80+G102</f>
        <v>206789.04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7860490.5299999993</v>
      </c>
      <c r="D108" s="24" t="s">
        <v>289</v>
      </c>
      <c r="E108" s="95">
        <f>('DOE25'!L275)+('DOE25'!L294)+('DOE25'!L313)</f>
        <v>328977.27999999997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4274870.4800000004</v>
      </c>
      <c r="D109" s="24" t="s">
        <v>289</v>
      </c>
      <c r="E109" s="95">
        <f>('DOE25'!L276)+('DOE25'!L295)+('DOE25'!L314)</f>
        <v>349744.02999999997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145141.57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213296.28999999998</v>
      </c>
      <c r="D111" s="24" t="s">
        <v>289</v>
      </c>
      <c r="E111" s="95">
        <f>+('DOE25'!L278)+('DOE25'!L297)+('DOE25'!L316)</f>
        <v>7519.42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17819.07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12511617.939999999</v>
      </c>
      <c r="D114" s="86">
        <f>SUM(D108:D113)</f>
        <v>0</v>
      </c>
      <c r="E114" s="86">
        <f>SUM(E108:E113)</f>
        <v>686240.73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1327253.33</v>
      </c>
      <c r="D117" s="24" t="s">
        <v>289</v>
      </c>
      <c r="E117" s="95">
        <f>+('DOE25'!L280)+('DOE25'!L299)+('DOE25'!L318)</f>
        <v>6335.87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690949.69000000006</v>
      </c>
      <c r="D118" s="24" t="s">
        <v>289</v>
      </c>
      <c r="E118" s="95">
        <f>+('DOE25'!L281)+('DOE25'!L300)+('DOE25'!L319)</f>
        <v>358303.81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837920.17999999993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1135138.77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221808.08999999997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1614841.8599999999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802508.78</v>
      </c>
      <c r="D123" s="24" t="s">
        <v>289</v>
      </c>
      <c r="E123" s="95">
        <f>+('DOE25'!L286)+('DOE25'!L305)+('DOE25'!L324)</f>
        <v>18320.32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2607.31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574652.01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6633028.0099999998</v>
      </c>
      <c r="D127" s="86">
        <f>SUM(D117:D126)</f>
        <v>574652.01</v>
      </c>
      <c r="E127" s="86">
        <f>SUM(E117:E126)</f>
        <v>382960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799494.16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241817.76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30164.62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11216.31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205883.66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905.38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-11789.040000000008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1247528.2299999997</v>
      </c>
      <c r="D143" s="141">
        <f>SUM(D129:D142)</f>
        <v>0</v>
      </c>
      <c r="E143" s="141">
        <f>SUM(E129:E142)</f>
        <v>30164.62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20392174.18</v>
      </c>
      <c r="D144" s="86">
        <f>(D114+D127+D143)</f>
        <v>574652.01</v>
      </c>
      <c r="E144" s="86">
        <f>(E114+E127+E143)</f>
        <v>1099365.3500000001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10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8/05</v>
      </c>
      <c r="C151" s="152" t="str">
        <f>'DOE25'!G490</f>
        <v>10/03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8/25</v>
      </c>
      <c r="C152" s="152" t="str">
        <f>'DOE25'!G491</f>
        <v>10/13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13402490</v>
      </c>
      <c r="C153" s="137">
        <f>'DOE25'!G492</f>
        <v>246250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4.13</v>
      </c>
      <c r="C154" s="137">
        <f>'DOE25'!G493</f>
        <v>4.3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8636137.2799999993</v>
      </c>
      <c r="C155" s="137">
        <f>'DOE25'!G494</f>
        <v>73875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8710012.2799999993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774869.16</v>
      </c>
      <c r="C157" s="137">
        <f>'DOE25'!G496</f>
        <v>24625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799494.16</v>
      </c>
    </row>
    <row r="158" spans="1:9" x14ac:dyDescent="0.2">
      <c r="A158" s="22" t="s">
        <v>35</v>
      </c>
      <c r="B158" s="137">
        <f>'DOE25'!F497</f>
        <v>7861268.1199999992</v>
      </c>
      <c r="C158" s="137">
        <f>'DOE25'!G497</f>
        <v>49250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7910518.1199999992</v>
      </c>
    </row>
    <row r="159" spans="1:9" x14ac:dyDescent="0.2">
      <c r="A159" s="22" t="s">
        <v>36</v>
      </c>
      <c r="B159" s="137">
        <f>'DOE25'!F498</f>
        <v>6382916.8799999999</v>
      </c>
      <c r="C159" s="137">
        <f>'DOE25'!G498</f>
        <v>3176.63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6386093.5099999998</v>
      </c>
    </row>
    <row r="160" spans="1:9" x14ac:dyDescent="0.2">
      <c r="A160" s="22" t="s">
        <v>37</v>
      </c>
      <c r="B160" s="137">
        <f>'DOE25'!F499</f>
        <v>14244185</v>
      </c>
      <c r="C160" s="137">
        <f>'DOE25'!G499</f>
        <v>52426.63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14296611.630000001</v>
      </c>
    </row>
    <row r="161" spans="1:7" x14ac:dyDescent="0.2">
      <c r="A161" s="22" t="s">
        <v>38</v>
      </c>
      <c r="B161" s="137">
        <f>'DOE25'!F500</f>
        <v>739998.95</v>
      </c>
      <c r="C161" s="137">
        <f>'DOE25'!G500</f>
        <v>24625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764623.95</v>
      </c>
    </row>
    <row r="162" spans="1:7" x14ac:dyDescent="0.2">
      <c r="A162" s="22" t="s">
        <v>39</v>
      </c>
      <c r="B162" s="137">
        <f>'DOE25'!F501</f>
        <v>278466.05</v>
      </c>
      <c r="C162" s="137">
        <f>'DOE25'!G501</f>
        <v>2117.75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280583.8</v>
      </c>
    </row>
    <row r="163" spans="1:7" x14ac:dyDescent="0.2">
      <c r="A163" s="22" t="s">
        <v>246</v>
      </c>
      <c r="B163" s="137">
        <f>'DOE25'!F502</f>
        <v>1018465</v>
      </c>
      <c r="C163" s="137">
        <f>'DOE25'!G502</f>
        <v>26742.75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1045207.75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0" workbookViewId="0">
      <selection activeCell="C4" sqref="C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1" t="s">
        <v>740</v>
      </c>
      <c r="B1" s="281"/>
      <c r="C1" s="281"/>
      <c r="D1" s="281"/>
    </row>
    <row r="2" spans="1:4" x14ac:dyDescent="0.2">
      <c r="A2" s="187" t="s">
        <v>717</v>
      </c>
      <c r="B2" s="186" t="str">
        <f>'DOE25'!A2</f>
        <v>RAYMOND SCHOOL DISTRICT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12819</v>
      </c>
    </row>
    <row r="5" spans="1:4" x14ac:dyDescent="0.2">
      <c r="B5" t="s">
        <v>704</v>
      </c>
      <c r="C5" s="179">
        <f>IF('DOE25'!G664+'DOE25'!G669=0,0,ROUND('DOE25'!G671,0))</f>
        <v>13473</v>
      </c>
    </row>
    <row r="6" spans="1:4" x14ac:dyDescent="0.2">
      <c r="B6" t="s">
        <v>62</v>
      </c>
      <c r="C6" s="179">
        <f>IF('DOE25'!H664+'DOE25'!H669=0,0,ROUND('DOE25'!H671,0))</f>
        <v>15574</v>
      </c>
    </row>
    <row r="7" spans="1:4" x14ac:dyDescent="0.2">
      <c r="B7" t="s">
        <v>705</v>
      </c>
      <c r="C7" s="179">
        <f>IF('DOE25'!I664+'DOE25'!I669=0,0,ROUND('DOE25'!I671,0))</f>
        <v>13844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8189468</v>
      </c>
      <c r="D10" s="182">
        <f>ROUND((C10/$C$28)*100,1)</f>
        <v>39.6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4624615</v>
      </c>
      <c r="D11" s="182">
        <f>ROUND((C11/$C$28)*100,1)</f>
        <v>22.3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145142</v>
      </c>
      <c r="D12" s="182">
        <f>ROUND((C12/$C$28)*100,1)</f>
        <v>0.7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220816</v>
      </c>
      <c r="D13" s="182">
        <f>ROUND((C13/$C$28)*100,1)</f>
        <v>1.1000000000000001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1333589</v>
      </c>
      <c r="D15" s="182">
        <f t="shared" ref="D15:D27" si="0">ROUND((C15/$C$28)*100,1)</f>
        <v>6.4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1049254</v>
      </c>
      <c r="D16" s="182">
        <f t="shared" si="0"/>
        <v>5.0999999999999996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840527</v>
      </c>
      <c r="D17" s="182">
        <f t="shared" si="0"/>
        <v>4.0999999999999996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1135139</v>
      </c>
      <c r="D18" s="182">
        <f t="shared" si="0"/>
        <v>5.5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221808</v>
      </c>
      <c r="D19" s="182">
        <f t="shared" si="0"/>
        <v>1.1000000000000001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1614842</v>
      </c>
      <c r="D20" s="182">
        <f t="shared" si="0"/>
        <v>7.8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820829</v>
      </c>
      <c r="D21" s="182">
        <f t="shared" si="0"/>
        <v>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17819</v>
      </c>
      <c r="D24" s="182">
        <f t="shared" si="0"/>
        <v>0.1</v>
      </c>
    </row>
    <row r="25" spans="1:4" x14ac:dyDescent="0.2">
      <c r="A25">
        <v>5120</v>
      </c>
      <c r="B25" t="s">
        <v>720</v>
      </c>
      <c r="C25" s="179">
        <f>ROUND('DOE25'!L260+'DOE25'!L341,0)</f>
        <v>241818</v>
      </c>
      <c r="D25" s="182">
        <f t="shared" si="0"/>
        <v>1.2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247480.33999999997</v>
      </c>
      <c r="D27" s="182">
        <f t="shared" si="0"/>
        <v>1.2</v>
      </c>
    </row>
    <row r="28" spans="1:4" x14ac:dyDescent="0.2">
      <c r="B28" s="187" t="s">
        <v>723</v>
      </c>
      <c r="C28" s="180">
        <f>SUM(C10:C27)</f>
        <v>20703146.34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20703146.34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799494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11279352</v>
      </c>
      <c r="D35" s="182">
        <f t="shared" ref="D35:D40" si="1">ROUND((C35/$C$41)*100,1)</f>
        <v>52.3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182515.46999999881</v>
      </c>
      <c r="D36" s="182">
        <f t="shared" si="1"/>
        <v>0.8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7624931</v>
      </c>
      <c r="D37" s="182">
        <f t="shared" si="1"/>
        <v>35.4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769295</v>
      </c>
      <c r="D38" s="182">
        <f t="shared" si="1"/>
        <v>3.6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1690094</v>
      </c>
      <c r="D39" s="182">
        <f t="shared" si="1"/>
        <v>7.8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21546187.469999999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C8" sqref="C8:M8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 x14ac:dyDescent="0.2">
      <c r="A2" s="292" t="s">
        <v>767</v>
      </c>
      <c r="B2" s="293"/>
      <c r="C2" s="293"/>
      <c r="D2" s="293"/>
      <c r="E2" s="293"/>
      <c r="F2" s="290" t="str">
        <f>'DOE25'!A2</f>
        <v>RAYMOND SCHOOL DISTRICT</v>
      </c>
      <c r="G2" s="291"/>
      <c r="H2" s="291"/>
      <c r="I2" s="291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 x14ac:dyDescent="0.2">
      <c r="A4" s="219"/>
      <c r="B4" s="220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4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>
        <v>2</v>
      </c>
      <c r="B5" s="220">
        <v>3</v>
      </c>
      <c r="C5" s="283" t="s">
        <v>910</v>
      </c>
      <c r="D5" s="283"/>
      <c r="E5" s="283"/>
      <c r="F5" s="283"/>
      <c r="G5" s="283"/>
      <c r="H5" s="283"/>
      <c r="I5" s="283"/>
      <c r="J5" s="283"/>
      <c r="K5" s="283"/>
      <c r="L5" s="283"/>
      <c r="M5" s="284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3"/>
      <c r="D6" s="283"/>
      <c r="E6" s="283"/>
      <c r="F6" s="283"/>
      <c r="G6" s="283"/>
      <c r="H6" s="283"/>
      <c r="I6" s="283"/>
      <c r="J6" s="283"/>
      <c r="K6" s="283"/>
      <c r="L6" s="283"/>
      <c r="M6" s="284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>
        <v>3</v>
      </c>
      <c r="B7" s="220">
        <v>24</v>
      </c>
      <c r="C7" s="283" t="s">
        <v>921</v>
      </c>
      <c r="D7" s="283"/>
      <c r="E7" s="283"/>
      <c r="F7" s="283"/>
      <c r="G7" s="283"/>
      <c r="H7" s="283"/>
      <c r="I7" s="283"/>
      <c r="J7" s="283"/>
      <c r="K7" s="283"/>
      <c r="L7" s="283"/>
      <c r="M7" s="284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3" t="s">
        <v>922</v>
      </c>
      <c r="D8" s="283"/>
      <c r="E8" s="283"/>
      <c r="F8" s="283"/>
      <c r="G8" s="283"/>
      <c r="H8" s="283"/>
      <c r="I8" s="283"/>
      <c r="J8" s="283"/>
      <c r="K8" s="283"/>
      <c r="L8" s="283"/>
      <c r="M8" s="284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3"/>
      <c r="D9" s="283"/>
      <c r="E9" s="283"/>
      <c r="F9" s="283"/>
      <c r="G9" s="283"/>
      <c r="H9" s="283"/>
      <c r="I9" s="283"/>
      <c r="J9" s="283"/>
      <c r="K9" s="283"/>
      <c r="L9" s="283"/>
      <c r="M9" s="284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>
        <v>4</v>
      </c>
      <c r="B10" s="220">
        <v>4</v>
      </c>
      <c r="C10" s="283" t="s">
        <v>917</v>
      </c>
      <c r="D10" s="283"/>
      <c r="E10" s="283"/>
      <c r="F10" s="283"/>
      <c r="G10" s="283"/>
      <c r="H10" s="283"/>
      <c r="I10" s="283"/>
      <c r="J10" s="283"/>
      <c r="K10" s="283"/>
      <c r="L10" s="283"/>
      <c r="M10" s="284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3" t="s">
        <v>287</v>
      </c>
      <c r="D11" s="283"/>
      <c r="E11" s="283"/>
      <c r="F11" s="283"/>
      <c r="G11" s="283"/>
      <c r="H11" s="283"/>
      <c r="I11" s="283"/>
      <c r="J11" s="283"/>
      <c r="K11" s="283"/>
      <c r="L11" s="283"/>
      <c r="M11" s="284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>
        <v>4</v>
      </c>
      <c r="B12" s="220">
        <v>18</v>
      </c>
      <c r="C12" s="283" t="s">
        <v>916</v>
      </c>
      <c r="D12" s="283"/>
      <c r="E12" s="283"/>
      <c r="F12" s="283"/>
      <c r="G12" s="283"/>
      <c r="H12" s="283"/>
      <c r="I12" s="283"/>
      <c r="J12" s="283"/>
      <c r="K12" s="283"/>
      <c r="L12" s="283"/>
      <c r="M12" s="284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3" t="s">
        <v>287</v>
      </c>
      <c r="D13" s="283"/>
      <c r="E13" s="283"/>
      <c r="F13" s="283"/>
      <c r="G13" s="283"/>
      <c r="H13" s="283"/>
      <c r="I13" s="283"/>
      <c r="J13" s="283"/>
      <c r="K13" s="283"/>
      <c r="L13" s="283"/>
      <c r="M13" s="284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>
        <v>5</v>
      </c>
      <c r="B14" s="220">
        <v>14</v>
      </c>
      <c r="C14" s="271" t="s">
        <v>919</v>
      </c>
      <c r="D14" s="271"/>
      <c r="E14" s="271"/>
      <c r="F14" s="271"/>
      <c r="G14" s="271"/>
      <c r="H14" s="271"/>
      <c r="I14" s="271"/>
      <c r="J14" s="271"/>
      <c r="K14" s="271"/>
      <c r="L14" s="271"/>
      <c r="M14" s="27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71"/>
      <c r="D15" s="271"/>
      <c r="E15" s="271"/>
      <c r="F15" s="271"/>
      <c r="G15" s="271"/>
      <c r="H15" s="271"/>
      <c r="I15" s="271"/>
      <c r="J15" s="271"/>
      <c r="K15" s="271"/>
      <c r="L15" s="271"/>
      <c r="M15" s="27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>
        <v>6</v>
      </c>
      <c r="B16" s="220">
        <v>8</v>
      </c>
      <c r="C16" s="271" t="s">
        <v>918</v>
      </c>
      <c r="D16" s="271"/>
      <c r="E16" s="271"/>
      <c r="F16" s="271"/>
      <c r="G16" s="271"/>
      <c r="H16" s="271"/>
      <c r="I16" s="271"/>
      <c r="J16" s="271"/>
      <c r="K16" s="271"/>
      <c r="L16" s="271"/>
      <c r="M16" s="27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71"/>
      <c r="D17" s="271"/>
      <c r="E17" s="271"/>
      <c r="F17" s="271"/>
      <c r="G17" s="271"/>
      <c r="H17" s="271"/>
      <c r="I17" s="271"/>
      <c r="J17" s="271"/>
      <c r="K17" s="271"/>
      <c r="L17" s="271"/>
      <c r="M17" s="27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>
        <v>14</v>
      </c>
      <c r="B18" s="220">
        <v>10</v>
      </c>
      <c r="C18" s="271" t="s">
        <v>920</v>
      </c>
      <c r="D18" s="271"/>
      <c r="E18" s="271"/>
      <c r="F18" s="271"/>
      <c r="G18" s="271"/>
      <c r="H18" s="271"/>
      <c r="I18" s="271"/>
      <c r="J18" s="271"/>
      <c r="K18" s="271"/>
      <c r="L18" s="271"/>
      <c r="M18" s="27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 t="s">
        <v>287</v>
      </c>
      <c r="B19" s="220" t="s">
        <v>287</v>
      </c>
      <c r="C19" s="271" t="s">
        <v>287</v>
      </c>
      <c r="D19" s="271"/>
      <c r="E19" s="271"/>
      <c r="F19" s="271"/>
      <c r="G19" s="271"/>
      <c r="H19" s="271"/>
      <c r="I19" s="271"/>
      <c r="J19" s="271"/>
      <c r="K19" s="271"/>
      <c r="L19" s="271"/>
      <c r="M19" s="27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4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4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3"/>
      <c r="D22" s="283"/>
      <c r="E22" s="283"/>
      <c r="F22" s="283"/>
      <c r="G22" s="283"/>
      <c r="H22" s="283"/>
      <c r="I22" s="283"/>
      <c r="J22" s="283"/>
      <c r="K22" s="283"/>
      <c r="L22" s="283"/>
      <c r="M22" s="284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4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4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3"/>
      <c r="D25" s="283"/>
      <c r="E25" s="283"/>
      <c r="F25" s="283"/>
      <c r="G25" s="283"/>
      <c r="H25" s="283"/>
      <c r="I25" s="283"/>
      <c r="J25" s="283"/>
      <c r="K25" s="283"/>
      <c r="L25" s="283"/>
      <c r="M25" s="284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4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4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4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3"/>
      <c r="D29" s="283"/>
      <c r="E29" s="283"/>
      <c r="F29" s="283"/>
      <c r="G29" s="283"/>
      <c r="H29" s="283"/>
      <c r="I29" s="283"/>
      <c r="J29" s="283"/>
      <c r="K29" s="283"/>
      <c r="L29" s="283"/>
      <c r="M29" s="284"/>
      <c r="N29" s="212"/>
      <c r="O29" s="212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4"/>
      <c r="N30" s="212"/>
      <c r="O30" s="212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4"/>
      <c r="N31" s="212"/>
      <c r="O31" s="212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4"/>
      <c r="N32" s="224"/>
      <c r="O32" s="224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5"/>
      <c r="AA32" s="219"/>
      <c r="AB32" s="220"/>
      <c r="AC32" s="283"/>
      <c r="AD32" s="283"/>
      <c r="AE32" s="283"/>
      <c r="AF32" s="283"/>
      <c r="AG32" s="283"/>
      <c r="AH32" s="283"/>
      <c r="AI32" s="283"/>
      <c r="AJ32" s="283"/>
      <c r="AK32" s="283"/>
      <c r="AL32" s="283"/>
      <c r="AM32" s="284"/>
      <c r="AN32" s="219"/>
      <c r="AO32" s="220"/>
      <c r="AP32" s="283"/>
      <c r="AQ32" s="283"/>
      <c r="AR32" s="283"/>
      <c r="AS32" s="283"/>
      <c r="AT32" s="283"/>
      <c r="AU32" s="283"/>
      <c r="AV32" s="283"/>
      <c r="AW32" s="283"/>
      <c r="AX32" s="283"/>
      <c r="AY32" s="283"/>
      <c r="AZ32" s="284"/>
      <c r="BA32" s="219"/>
      <c r="BB32" s="220"/>
      <c r="BC32" s="283"/>
      <c r="BD32" s="283"/>
      <c r="BE32" s="283"/>
      <c r="BF32" s="283"/>
      <c r="BG32" s="283"/>
      <c r="BH32" s="283"/>
      <c r="BI32" s="283"/>
      <c r="BJ32" s="283"/>
      <c r="BK32" s="283"/>
      <c r="BL32" s="283"/>
      <c r="BM32" s="284"/>
      <c r="BN32" s="219"/>
      <c r="BO32" s="220"/>
      <c r="BP32" s="283"/>
      <c r="BQ32" s="283"/>
      <c r="BR32" s="283"/>
      <c r="BS32" s="283"/>
      <c r="BT32" s="283"/>
      <c r="BU32" s="283"/>
      <c r="BV32" s="283"/>
      <c r="BW32" s="283"/>
      <c r="BX32" s="283"/>
      <c r="BY32" s="283"/>
      <c r="BZ32" s="284"/>
      <c r="CA32" s="219"/>
      <c r="CB32" s="220"/>
      <c r="CC32" s="283"/>
      <c r="CD32" s="283"/>
      <c r="CE32" s="283"/>
      <c r="CF32" s="283"/>
      <c r="CG32" s="283"/>
      <c r="CH32" s="283"/>
      <c r="CI32" s="283"/>
      <c r="CJ32" s="283"/>
      <c r="CK32" s="283"/>
      <c r="CL32" s="283"/>
      <c r="CM32" s="284"/>
      <c r="CN32" s="219"/>
      <c r="CO32" s="220"/>
      <c r="CP32" s="283"/>
      <c r="CQ32" s="283"/>
      <c r="CR32" s="283"/>
      <c r="CS32" s="283"/>
      <c r="CT32" s="283"/>
      <c r="CU32" s="283"/>
      <c r="CV32" s="283"/>
      <c r="CW32" s="283"/>
      <c r="CX32" s="283"/>
      <c r="CY32" s="283"/>
      <c r="CZ32" s="284"/>
      <c r="DA32" s="219"/>
      <c r="DB32" s="220"/>
      <c r="DC32" s="283"/>
      <c r="DD32" s="283"/>
      <c r="DE32" s="283"/>
      <c r="DF32" s="283"/>
      <c r="DG32" s="283"/>
      <c r="DH32" s="283"/>
      <c r="DI32" s="283"/>
      <c r="DJ32" s="283"/>
      <c r="DK32" s="283"/>
      <c r="DL32" s="283"/>
      <c r="DM32" s="284"/>
      <c r="DN32" s="219"/>
      <c r="DO32" s="220"/>
      <c r="DP32" s="283"/>
      <c r="DQ32" s="283"/>
      <c r="DR32" s="283"/>
      <c r="DS32" s="283"/>
      <c r="DT32" s="283"/>
      <c r="DU32" s="283"/>
      <c r="DV32" s="283"/>
      <c r="DW32" s="283"/>
      <c r="DX32" s="283"/>
      <c r="DY32" s="283"/>
      <c r="DZ32" s="284"/>
      <c r="EA32" s="219"/>
      <c r="EB32" s="220"/>
      <c r="EC32" s="283"/>
      <c r="ED32" s="283"/>
      <c r="EE32" s="283"/>
      <c r="EF32" s="283"/>
      <c r="EG32" s="283"/>
      <c r="EH32" s="283"/>
      <c r="EI32" s="283"/>
      <c r="EJ32" s="283"/>
      <c r="EK32" s="283"/>
      <c r="EL32" s="283"/>
      <c r="EM32" s="284"/>
      <c r="EN32" s="219"/>
      <c r="EO32" s="220"/>
      <c r="EP32" s="283"/>
      <c r="EQ32" s="283"/>
      <c r="ER32" s="283"/>
      <c r="ES32" s="283"/>
      <c r="ET32" s="283"/>
      <c r="EU32" s="283"/>
      <c r="EV32" s="283"/>
      <c r="EW32" s="283"/>
      <c r="EX32" s="283"/>
      <c r="EY32" s="283"/>
      <c r="EZ32" s="284"/>
      <c r="FA32" s="219"/>
      <c r="FB32" s="220"/>
      <c r="FC32" s="283"/>
      <c r="FD32" s="283"/>
      <c r="FE32" s="283"/>
      <c r="FF32" s="283"/>
      <c r="FG32" s="283"/>
      <c r="FH32" s="283"/>
      <c r="FI32" s="283"/>
      <c r="FJ32" s="283"/>
      <c r="FK32" s="283"/>
      <c r="FL32" s="283"/>
      <c r="FM32" s="284"/>
      <c r="FN32" s="219"/>
      <c r="FO32" s="220"/>
      <c r="FP32" s="283"/>
      <c r="FQ32" s="283"/>
      <c r="FR32" s="283"/>
      <c r="FS32" s="283"/>
      <c r="FT32" s="283"/>
      <c r="FU32" s="283"/>
      <c r="FV32" s="283"/>
      <c r="FW32" s="283"/>
      <c r="FX32" s="283"/>
      <c r="FY32" s="283"/>
      <c r="FZ32" s="284"/>
      <c r="GA32" s="219"/>
      <c r="GB32" s="220"/>
      <c r="GC32" s="283"/>
      <c r="GD32" s="283"/>
      <c r="GE32" s="283"/>
      <c r="GF32" s="283"/>
      <c r="GG32" s="283"/>
      <c r="GH32" s="283"/>
      <c r="GI32" s="283"/>
      <c r="GJ32" s="283"/>
      <c r="GK32" s="283"/>
      <c r="GL32" s="283"/>
      <c r="GM32" s="284"/>
      <c r="GN32" s="219"/>
      <c r="GO32" s="220"/>
      <c r="GP32" s="283"/>
      <c r="GQ32" s="283"/>
      <c r="GR32" s="283"/>
      <c r="GS32" s="283"/>
      <c r="GT32" s="283"/>
      <c r="GU32" s="283"/>
      <c r="GV32" s="283"/>
      <c r="GW32" s="283"/>
      <c r="GX32" s="283"/>
      <c r="GY32" s="283"/>
      <c r="GZ32" s="284"/>
      <c r="HA32" s="219"/>
      <c r="HB32" s="220"/>
      <c r="HC32" s="283"/>
      <c r="HD32" s="283"/>
      <c r="HE32" s="283"/>
      <c r="HF32" s="283"/>
      <c r="HG32" s="283"/>
      <c r="HH32" s="283"/>
      <c r="HI32" s="283"/>
      <c r="HJ32" s="283"/>
      <c r="HK32" s="283"/>
      <c r="HL32" s="283"/>
      <c r="HM32" s="284"/>
      <c r="HN32" s="219"/>
      <c r="HO32" s="220"/>
      <c r="HP32" s="283"/>
      <c r="HQ32" s="283"/>
      <c r="HR32" s="283"/>
      <c r="HS32" s="283"/>
      <c r="HT32" s="283"/>
      <c r="HU32" s="283"/>
      <c r="HV32" s="283"/>
      <c r="HW32" s="283"/>
      <c r="HX32" s="283"/>
      <c r="HY32" s="283"/>
      <c r="HZ32" s="284"/>
      <c r="IA32" s="219"/>
      <c r="IB32" s="220"/>
      <c r="IC32" s="283"/>
      <c r="ID32" s="283"/>
      <c r="IE32" s="283"/>
      <c r="IF32" s="283"/>
      <c r="IG32" s="283"/>
      <c r="IH32" s="283"/>
      <c r="II32" s="283"/>
      <c r="IJ32" s="283"/>
      <c r="IK32" s="283"/>
      <c r="IL32" s="283"/>
      <c r="IM32" s="284"/>
      <c r="IN32" s="219"/>
      <c r="IO32" s="220"/>
      <c r="IP32" s="283"/>
      <c r="IQ32" s="283"/>
      <c r="IR32" s="283"/>
      <c r="IS32" s="283"/>
      <c r="IT32" s="283"/>
      <c r="IU32" s="283"/>
      <c r="IV32" s="283"/>
    </row>
    <row r="33" spans="1:256" x14ac:dyDescent="0.2">
      <c r="A33" s="219"/>
      <c r="B33" s="220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4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3"/>
      <c r="D34" s="283"/>
      <c r="E34" s="283"/>
      <c r="F34" s="283"/>
      <c r="G34" s="283"/>
      <c r="H34" s="283"/>
      <c r="I34" s="283"/>
      <c r="J34" s="283"/>
      <c r="K34" s="283"/>
      <c r="L34" s="283"/>
      <c r="M34" s="284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3"/>
      <c r="D35" s="283"/>
      <c r="E35" s="283"/>
      <c r="F35" s="283"/>
      <c r="G35" s="283"/>
      <c r="H35" s="283"/>
      <c r="I35" s="283"/>
      <c r="J35" s="283"/>
      <c r="K35" s="283"/>
      <c r="L35" s="283"/>
      <c r="M35" s="284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3"/>
      <c r="D36" s="283"/>
      <c r="E36" s="283"/>
      <c r="F36" s="283"/>
      <c r="G36" s="283"/>
      <c r="H36" s="283"/>
      <c r="I36" s="283"/>
      <c r="J36" s="283"/>
      <c r="K36" s="283"/>
      <c r="L36" s="283"/>
      <c r="M36" s="284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3"/>
      <c r="D37" s="283"/>
      <c r="E37" s="283"/>
      <c r="F37" s="283"/>
      <c r="G37" s="283"/>
      <c r="H37" s="283"/>
      <c r="I37" s="283"/>
      <c r="J37" s="283"/>
      <c r="K37" s="283"/>
      <c r="L37" s="283"/>
      <c r="M37" s="284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4"/>
      <c r="N38" s="212"/>
      <c r="O38" s="212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4"/>
      <c r="N39" s="212"/>
      <c r="O39" s="212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4"/>
      <c r="N40" s="212"/>
      <c r="O40" s="212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3"/>
      <c r="D41" s="283"/>
      <c r="E41" s="283"/>
      <c r="F41" s="283"/>
      <c r="G41" s="283"/>
      <c r="H41" s="283"/>
      <c r="I41" s="283"/>
      <c r="J41" s="283"/>
      <c r="K41" s="283"/>
      <c r="L41" s="283"/>
      <c r="M41" s="284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3"/>
      <c r="D42" s="283"/>
      <c r="E42" s="283"/>
      <c r="F42" s="283"/>
      <c r="G42" s="283"/>
      <c r="H42" s="283"/>
      <c r="I42" s="283"/>
      <c r="J42" s="283"/>
      <c r="K42" s="283"/>
      <c r="L42" s="283"/>
      <c r="M42" s="284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3"/>
      <c r="D43" s="283"/>
      <c r="E43" s="283"/>
      <c r="F43" s="283"/>
      <c r="G43" s="283"/>
      <c r="H43" s="283"/>
      <c r="I43" s="283"/>
      <c r="J43" s="283"/>
      <c r="K43" s="283"/>
      <c r="L43" s="283"/>
      <c r="M43" s="284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3"/>
      <c r="D44" s="283"/>
      <c r="E44" s="283"/>
      <c r="F44" s="283"/>
      <c r="G44" s="283"/>
      <c r="H44" s="283"/>
      <c r="I44" s="283"/>
      <c r="J44" s="283"/>
      <c r="K44" s="283"/>
      <c r="L44" s="283"/>
      <c r="M44" s="284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4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4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4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4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3"/>
      <c r="D49" s="283"/>
      <c r="E49" s="283"/>
      <c r="F49" s="283"/>
      <c r="G49" s="283"/>
      <c r="H49" s="283"/>
      <c r="I49" s="283"/>
      <c r="J49" s="283"/>
      <c r="K49" s="283"/>
      <c r="L49" s="283"/>
      <c r="M49" s="284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4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4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4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3"/>
      <c r="D53" s="283"/>
      <c r="E53" s="283"/>
      <c r="F53" s="283"/>
      <c r="G53" s="283"/>
      <c r="H53" s="283"/>
      <c r="I53" s="283"/>
      <c r="J53" s="283"/>
      <c r="K53" s="283"/>
      <c r="L53" s="283"/>
      <c r="M53" s="284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4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4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4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3"/>
      <c r="D57" s="283"/>
      <c r="E57" s="283"/>
      <c r="F57" s="283"/>
      <c r="G57" s="283"/>
      <c r="H57" s="283"/>
      <c r="I57" s="283"/>
      <c r="J57" s="283"/>
      <c r="K57" s="283"/>
      <c r="L57" s="283"/>
      <c r="M57" s="284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3"/>
      <c r="D58" s="283"/>
      <c r="E58" s="283"/>
      <c r="F58" s="283"/>
      <c r="G58" s="283"/>
      <c r="H58" s="283"/>
      <c r="I58" s="283"/>
      <c r="J58" s="283"/>
      <c r="K58" s="283"/>
      <c r="L58" s="283"/>
      <c r="M58" s="284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4"/>
    </row>
    <row r="60" spans="1:256" x14ac:dyDescent="0.2">
      <c r="A60" s="219"/>
      <c r="B60" s="220"/>
      <c r="C60" s="283"/>
      <c r="D60" s="283"/>
      <c r="E60" s="283"/>
      <c r="F60" s="283"/>
      <c r="G60" s="283"/>
      <c r="H60" s="283"/>
      <c r="I60" s="283"/>
      <c r="J60" s="283"/>
      <c r="K60" s="283"/>
      <c r="L60" s="283"/>
      <c r="M60" s="284"/>
    </row>
    <row r="61" spans="1:256" x14ac:dyDescent="0.2">
      <c r="A61" s="219"/>
      <c r="B61" s="220"/>
      <c r="C61" s="283"/>
      <c r="D61" s="283"/>
      <c r="E61" s="283"/>
      <c r="F61" s="283"/>
      <c r="G61" s="283"/>
      <c r="H61" s="283"/>
      <c r="I61" s="283"/>
      <c r="J61" s="283"/>
      <c r="K61" s="283"/>
      <c r="L61" s="283"/>
      <c r="M61" s="284"/>
    </row>
    <row r="62" spans="1:256" x14ac:dyDescent="0.2">
      <c r="A62" s="219"/>
      <c r="B62" s="220"/>
      <c r="C62" s="283"/>
      <c r="D62" s="283"/>
      <c r="E62" s="283"/>
      <c r="F62" s="283"/>
      <c r="G62" s="283"/>
      <c r="H62" s="283"/>
      <c r="I62" s="283"/>
      <c r="J62" s="283"/>
      <c r="K62" s="283"/>
      <c r="L62" s="283"/>
      <c r="M62" s="284"/>
    </row>
    <row r="63" spans="1:256" x14ac:dyDescent="0.2">
      <c r="A63" s="219"/>
      <c r="B63" s="220"/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4"/>
    </row>
    <row r="64" spans="1:256" x14ac:dyDescent="0.2">
      <c r="A64" s="219"/>
      <c r="B64" s="220"/>
      <c r="C64" s="283"/>
      <c r="D64" s="283"/>
      <c r="E64" s="283"/>
      <c r="F64" s="283"/>
      <c r="G64" s="283"/>
      <c r="H64" s="283"/>
      <c r="I64" s="283"/>
      <c r="J64" s="283"/>
      <c r="K64" s="283"/>
      <c r="L64" s="283"/>
      <c r="M64" s="284"/>
    </row>
    <row r="65" spans="1:13" x14ac:dyDescent="0.2">
      <c r="A65" s="219"/>
      <c r="B65" s="220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4"/>
    </row>
    <row r="66" spans="1:13" x14ac:dyDescent="0.2">
      <c r="A66" s="219"/>
      <c r="B66" s="220"/>
      <c r="C66" s="283"/>
      <c r="D66" s="283"/>
      <c r="E66" s="283"/>
      <c r="F66" s="283"/>
      <c r="G66" s="283"/>
      <c r="H66" s="283"/>
      <c r="I66" s="283"/>
      <c r="J66" s="283"/>
      <c r="K66" s="283"/>
      <c r="L66" s="283"/>
      <c r="M66" s="284"/>
    </row>
    <row r="67" spans="1:13" x14ac:dyDescent="0.2">
      <c r="A67" s="219"/>
      <c r="B67" s="220"/>
      <c r="C67" s="283"/>
      <c r="D67" s="283"/>
      <c r="E67" s="283"/>
      <c r="F67" s="283"/>
      <c r="G67" s="283"/>
      <c r="H67" s="283"/>
      <c r="I67" s="283"/>
      <c r="J67" s="283"/>
      <c r="K67" s="283"/>
      <c r="L67" s="283"/>
      <c r="M67" s="284"/>
    </row>
    <row r="68" spans="1:13" x14ac:dyDescent="0.2">
      <c r="A68" s="219"/>
      <c r="B68" s="220"/>
      <c r="C68" s="283"/>
      <c r="D68" s="283"/>
      <c r="E68" s="283"/>
      <c r="F68" s="283"/>
      <c r="G68" s="283"/>
      <c r="H68" s="283"/>
      <c r="I68" s="283"/>
      <c r="J68" s="283"/>
      <c r="K68" s="283"/>
      <c r="L68" s="283"/>
      <c r="M68" s="284"/>
    </row>
    <row r="69" spans="1:13" x14ac:dyDescent="0.2">
      <c r="A69" s="219"/>
      <c r="B69" s="220"/>
      <c r="C69" s="283"/>
      <c r="D69" s="283"/>
      <c r="E69" s="283"/>
      <c r="F69" s="283"/>
      <c r="G69" s="283"/>
      <c r="H69" s="283"/>
      <c r="I69" s="283"/>
      <c r="J69" s="283"/>
      <c r="K69" s="283"/>
      <c r="L69" s="283"/>
      <c r="M69" s="284"/>
    </row>
    <row r="70" spans="1:13" ht="12" thickBot="1" x14ac:dyDescent="0.25">
      <c r="A70" s="221"/>
      <c r="B70" s="222"/>
      <c r="C70" s="297"/>
      <c r="D70" s="297"/>
      <c r="E70" s="297"/>
      <c r="F70" s="297"/>
      <c r="G70" s="297"/>
      <c r="H70" s="297"/>
      <c r="I70" s="297"/>
      <c r="J70" s="297"/>
      <c r="K70" s="297"/>
      <c r="L70" s="297"/>
      <c r="M70" s="298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9" t="s">
        <v>848</v>
      </c>
      <c r="B72" s="299"/>
      <c r="C72" s="299"/>
      <c r="D72" s="299"/>
      <c r="E72" s="29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96"/>
      <c r="D73" s="296"/>
      <c r="E73" s="296"/>
      <c r="F73" s="296"/>
      <c r="G73" s="296"/>
      <c r="H73" s="296"/>
      <c r="I73" s="296"/>
      <c r="J73" s="296"/>
      <c r="K73" s="296"/>
      <c r="L73" s="296"/>
      <c r="M73" s="296"/>
    </row>
    <row r="74" spans="1:13" x14ac:dyDescent="0.2">
      <c r="A74" s="212"/>
      <c r="B74" s="212"/>
      <c r="C74" s="296"/>
      <c r="D74" s="296"/>
      <c r="E74" s="296"/>
      <c r="F74" s="296"/>
      <c r="G74" s="296"/>
      <c r="H74" s="296"/>
      <c r="I74" s="296"/>
      <c r="J74" s="296"/>
      <c r="K74" s="296"/>
      <c r="L74" s="296"/>
      <c r="M74" s="296"/>
    </row>
    <row r="75" spans="1:13" x14ac:dyDescent="0.2">
      <c r="A75" s="212"/>
      <c r="B75" s="212"/>
      <c r="C75" s="296"/>
      <c r="D75" s="296"/>
      <c r="E75" s="296"/>
      <c r="F75" s="296"/>
      <c r="G75" s="296"/>
      <c r="H75" s="296"/>
      <c r="I75" s="296"/>
      <c r="J75" s="296"/>
      <c r="K75" s="296"/>
      <c r="L75" s="296"/>
      <c r="M75" s="296"/>
    </row>
    <row r="76" spans="1:13" x14ac:dyDescent="0.2">
      <c r="A76" s="212"/>
      <c r="B76" s="212"/>
      <c r="C76" s="296"/>
      <c r="D76" s="296"/>
      <c r="E76" s="296"/>
      <c r="F76" s="296"/>
      <c r="G76" s="296"/>
      <c r="H76" s="296"/>
      <c r="I76" s="296"/>
      <c r="J76" s="296"/>
      <c r="K76" s="296"/>
      <c r="L76" s="296"/>
      <c r="M76" s="296"/>
    </row>
    <row r="77" spans="1:13" x14ac:dyDescent="0.2">
      <c r="A77" s="212"/>
      <c r="B77" s="212"/>
      <c r="C77" s="296"/>
      <c r="D77" s="296"/>
      <c r="E77" s="296"/>
      <c r="F77" s="296"/>
      <c r="G77" s="296"/>
      <c r="H77" s="296"/>
      <c r="I77" s="296"/>
      <c r="J77" s="296"/>
      <c r="K77" s="296"/>
      <c r="L77" s="296"/>
      <c r="M77" s="296"/>
    </row>
    <row r="78" spans="1:13" x14ac:dyDescent="0.2">
      <c r="A78" s="212"/>
      <c r="B78" s="212"/>
      <c r="C78" s="296"/>
      <c r="D78" s="296"/>
      <c r="E78" s="296"/>
      <c r="F78" s="296"/>
      <c r="G78" s="296"/>
      <c r="H78" s="296"/>
      <c r="I78" s="296"/>
      <c r="J78" s="296"/>
      <c r="K78" s="296"/>
      <c r="L78" s="296"/>
      <c r="M78" s="296"/>
    </row>
    <row r="79" spans="1:13" x14ac:dyDescent="0.2">
      <c r="A79" s="212"/>
      <c r="B79" s="212"/>
      <c r="C79" s="296"/>
      <c r="D79" s="296"/>
      <c r="E79" s="296"/>
      <c r="F79" s="296"/>
      <c r="G79" s="296"/>
      <c r="H79" s="296"/>
      <c r="I79" s="296"/>
      <c r="J79" s="296"/>
      <c r="K79" s="296"/>
      <c r="L79" s="296"/>
      <c r="M79" s="296"/>
    </row>
    <row r="80" spans="1:13" x14ac:dyDescent="0.2">
      <c r="A80" s="212"/>
      <c r="B80" s="212"/>
      <c r="C80" s="296"/>
      <c r="D80" s="296"/>
      <c r="E80" s="296"/>
      <c r="F80" s="296"/>
      <c r="G80" s="296"/>
      <c r="H80" s="296"/>
      <c r="I80" s="296"/>
      <c r="J80" s="296"/>
      <c r="K80" s="296"/>
      <c r="L80" s="296"/>
      <c r="M80" s="296"/>
    </row>
    <row r="81" spans="1:13" x14ac:dyDescent="0.2">
      <c r="A81" s="212"/>
      <c r="B81" s="212"/>
      <c r="C81" s="296"/>
      <c r="D81" s="296"/>
      <c r="E81" s="296"/>
      <c r="F81" s="296"/>
      <c r="G81" s="296"/>
      <c r="H81" s="296"/>
      <c r="I81" s="296"/>
      <c r="J81" s="296"/>
      <c r="K81" s="296"/>
      <c r="L81" s="296"/>
      <c r="M81" s="296"/>
    </row>
    <row r="82" spans="1:13" x14ac:dyDescent="0.2">
      <c r="A82" s="212"/>
      <c r="B82" s="212"/>
      <c r="C82" s="296"/>
      <c r="D82" s="296"/>
      <c r="E82" s="296"/>
      <c r="F82" s="296"/>
      <c r="G82" s="296"/>
      <c r="H82" s="296"/>
      <c r="I82" s="296"/>
      <c r="J82" s="296"/>
      <c r="K82" s="296"/>
      <c r="L82" s="296"/>
      <c r="M82" s="296"/>
    </row>
    <row r="83" spans="1:13" x14ac:dyDescent="0.2">
      <c r="A83" s="212"/>
      <c r="B83" s="212"/>
      <c r="C83" s="296"/>
      <c r="D83" s="296"/>
      <c r="E83" s="296"/>
      <c r="F83" s="296"/>
      <c r="G83" s="296"/>
      <c r="H83" s="296"/>
      <c r="I83" s="296"/>
      <c r="J83" s="296"/>
      <c r="K83" s="296"/>
      <c r="L83" s="296"/>
      <c r="M83" s="296"/>
    </row>
    <row r="84" spans="1:13" x14ac:dyDescent="0.2">
      <c r="A84" s="212"/>
      <c r="B84" s="212"/>
      <c r="C84" s="296"/>
      <c r="D84" s="296"/>
      <c r="E84" s="296"/>
      <c r="F84" s="296"/>
      <c r="G84" s="296"/>
      <c r="H84" s="296"/>
      <c r="I84" s="296"/>
      <c r="J84" s="296"/>
      <c r="K84" s="296"/>
      <c r="L84" s="296"/>
      <c r="M84" s="296"/>
    </row>
    <row r="85" spans="1:13" x14ac:dyDescent="0.2">
      <c r="A85" s="212"/>
      <c r="B85" s="212"/>
      <c r="C85" s="296"/>
      <c r="D85" s="296"/>
      <c r="E85" s="296"/>
      <c r="F85" s="296"/>
      <c r="G85" s="296"/>
      <c r="H85" s="296"/>
      <c r="I85" s="296"/>
      <c r="J85" s="296"/>
      <c r="K85" s="296"/>
      <c r="L85" s="296"/>
      <c r="M85" s="296"/>
    </row>
    <row r="86" spans="1:13" x14ac:dyDescent="0.2">
      <c r="A86" s="212"/>
      <c r="B86" s="212"/>
      <c r="C86" s="296"/>
      <c r="D86" s="296"/>
      <c r="E86" s="296"/>
      <c r="F86" s="296"/>
      <c r="G86" s="296"/>
      <c r="H86" s="296"/>
      <c r="I86" s="296"/>
      <c r="J86" s="296"/>
      <c r="K86" s="296"/>
      <c r="L86" s="296"/>
      <c r="M86" s="296"/>
    </row>
    <row r="87" spans="1:13" x14ac:dyDescent="0.2">
      <c r="A87" s="212"/>
      <c r="B87" s="212"/>
      <c r="C87" s="296"/>
      <c r="D87" s="296"/>
      <c r="E87" s="296"/>
      <c r="F87" s="296"/>
      <c r="G87" s="296"/>
      <c r="H87" s="296"/>
      <c r="I87" s="296"/>
      <c r="J87" s="296"/>
      <c r="K87" s="296"/>
      <c r="L87" s="296"/>
      <c r="M87" s="296"/>
    </row>
    <row r="88" spans="1:13" x14ac:dyDescent="0.2">
      <c r="A88" s="212"/>
      <c r="B88" s="212"/>
      <c r="C88" s="296"/>
      <c r="D88" s="296"/>
      <c r="E88" s="296"/>
      <c r="F88" s="296"/>
      <c r="G88" s="296"/>
      <c r="H88" s="296"/>
      <c r="I88" s="296"/>
      <c r="J88" s="296"/>
      <c r="K88" s="296"/>
      <c r="L88" s="296"/>
      <c r="M88" s="296"/>
    </row>
    <row r="89" spans="1:13" x14ac:dyDescent="0.2">
      <c r="A89" s="212"/>
      <c r="B89" s="212"/>
      <c r="C89" s="296"/>
      <c r="D89" s="296"/>
      <c r="E89" s="296"/>
      <c r="F89" s="296"/>
      <c r="G89" s="296"/>
      <c r="H89" s="296"/>
      <c r="I89" s="296"/>
      <c r="J89" s="296"/>
      <c r="K89" s="296"/>
      <c r="L89" s="296"/>
      <c r="M89" s="296"/>
    </row>
    <row r="90" spans="1:13" x14ac:dyDescent="0.2">
      <c r="A90" s="212"/>
      <c r="B90" s="212"/>
      <c r="C90" s="296"/>
      <c r="D90" s="296"/>
      <c r="E90" s="296"/>
      <c r="F90" s="296"/>
      <c r="G90" s="296"/>
      <c r="H90" s="296"/>
      <c r="I90" s="296"/>
      <c r="J90" s="296"/>
      <c r="K90" s="296"/>
      <c r="L90" s="296"/>
      <c r="M90" s="296"/>
    </row>
  </sheetData>
  <sheetProtection password="BF0A" sheet="1" objects="1" scenarios="1"/>
  <mergeCells count="217">
    <mergeCell ref="C90:M90"/>
    <mergeCell ref="C83:M83"/>
    <mergeCell ref="C84:M84"/>
    <mergeCell ref="C85:M85"/>
    <mergeCell ref="C86:M86"/>
    <mergeCell ref="C88:M88"/>
    <mergeCell ref="C89:M89"/>
    <mergeCell ref="C68:M68"/>
    <mergeCell ref="C69:M69"/>
    <mergeCell ref="C75:M75"/>
    <mergeCell ref="C76:M76"/>
    <mergeCell ref="C70:M70"/>
    <mergeCell ref="A72:E72"/>
    <mergeCell ref="C73:M73"/>
    <mergeCell ref="C74:M74"/>
    <mergeCell ref="C77:M77"/>
    <mergeCell ref="C78:M78"/>
    <mergeCell ref="C87:M87"/>
    <mergeCell ref="C79:M79"/>
    <mergeCell ref="C80:M80"/>
    <mergeCell ref="C81:M81"/>
    <mergeCell ref="C82:M82"/>
    <mergeCell ref="C62:M62"/>
    <mergeCell ref="C63:M63"/>
    <mergeCell ref="C64:M64"/>
    <mergeCell ref="C65:M65"/>
    <mergeCell ref="C66:M66"/>
    <mergeCell ref="C67:M67"/>
    <mergeCell ref="C34:M34"/>
    <mergeCell ref="C35:M35"/>
    <mergeCell ref="C36:M36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45:M45"/>
    <mergeCell ref="C46:M46"/>
    <mergeCell ref="C44:M44"/>
    <mergeCell ref="AC29:AM29"/>
    <mergeCell ref="AP29:AZ29"/>
    <mergeCell ref="C5:M5"/>
    <mergeCell ref="C6:M6"/>
    <mergeCell ref="C21:M21"/>
    <mergeCell ref="C32:M32"/>
    <mergeCell ref="C30:M30"/>
    <mergeCell ref="C31:M31"/>
    <mergeCell ref="C26:M26"/>
    <mergeCell ref="C27:M27"/>
    <mergeCell ref="C28:M28"/>
    <mergeCell ref="P32:Z32"/>
    <mergeCell ref="C40:M40"/>
    <mergeCell ref="C43:M43"/>
    <mergeCell ref="A1:I1"/>
    <mergeCell ref="C3:M3"/>
    <mergeCell ref="C4:M4"/>
    <mergeCell ref="F2:I2"/>
    <mergeCell ref="A2:E2"/>
    <mergeCell ref="C13:M13"/>
    <mergeCell ref="C22:M22"/>
    <mergeCell ref="C23:M23"/>
    <mergeCell ref="P31:Z31"/>
    <mergeCell ref="C9:M9"/>
    <mergeCell ref="C10:M10"/>
    <mergeCell ref="C11:M11"/>
    <mergeCell ref="C12:M12"/>
    <mergeCell ref="C20:M20"/>
    <mergeCell ref="C24:M24"/>
    <mergeCell ref="C29:M29"/>
    <mergeCell ref="C25:M25"/>
    <mergeCell ref="P29:Z29"/>
    <mergeCell ref="C7:M7"/>
    <mergeCell ref="C8:M8"/>
    <mergeCell ref="CP38:CZ38"/>
    <mergeCell ref="DC38:DM38"/>
    <mergeCell ref="DP38:DZ38"/>
    <mergeCell ref="EC38:EM38"/>
    <mergeCell ref="P39:Z39"/>
    <mergeCell ref="AC39:AM39"/>
    <mergeCell ref="AP39:AZ39"/>
    <mergeCell ref="BP39:BZ39"/>
    <mergeCell ref="AP31:AZ31"/>
    <mergeCell ref="BC29:BM29"/>
    <mergeCell ref="BP29:BZ29"/>
    <mergeCell ref="CC29:CM29"/>
    <mergeCell ref="C39:M39"/>
    <mergeCell ref="AC31:AM31"/>
    <mergeCell ref="AC38:AM38"/>
    <mergeCell ref="AP38:AZ38"/>
    <mergeCell ref="BP38:BZ38"/>
    <mergeCell ref="CC38:CM38"/>
    <mergeCell ref="CC32:CM32"/>
    <mergeCell ref="GP29:GZ29"/>
    <mergeCell ref="HC29:HM29"/>
    <mergeCell ref="HP29:HZ29"/>
    <mergeCell ref="IC29:IM29"/>
    <mergeCell ref="EP29:EZ29"/>
    <mergeCell ref="FC29:FM29"/>
    <mergeCell ref="FP29:FZ29"/>
    <mergeCell ref="GC29:GM29"/>
    <mergeCell ref="CP29:CZ29"/>
    <mergeCell ref="DC29:DM29"/>
    <mergeCell ref="DP29:DZ29"/>
    <mergeCell ref="EC29:E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P40:Z40"/>
    <mergeCell ref="AC40:AM40"/>
    <mergeCell ref="BP32:BZ32"/>
    <mergeCell ref="BC38:BM38"/>
    <mergeCell ref="AC32:AM32"/>
    <mergeCell ref="AP32:AZ32"/>
    <mergeCell ref="P38:Z38"/>
    <mergeCell ref="CC30:CM30"/>
    <mergeCell ref="CP30:CZ30"/>
    <mergeCell ref="DC30:DM30"/>
    <mergeCell ref="DP30:DZ30"/>
    <mergeCell ref="BC30:BM30"/>
    <mergeCell ref="BP30:BZ30"/>
    <mergeCell ref="GC30:GM30"/>
    <mergeCell ref="GP30:GZ30"/>
    <mergeCell ref="HC30:HM30"/>
    <mergeCell ref="HP30:HZ30"/>
    <mergeCell ref="EC30:EM30"/>
    <mergeCell ref="EP30:EZ30"/>
    <mergeCell ref="FC30:FM30"/>
    <mergeCell ref="FP30:F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P31:FZ31"/>
    <mergeCell ref="GC31:GM31"/>
    <mergeCell ref="GP31:GZ31"/>
    <mergeCell ref="HC31:HM31"/>
    <mergeCell ref="DP31:DZ31"/>
    <mergeCell ref="EC31:EM31"/>
    <mergeCell ref="EP31:EZ31"/>
    <mergeCell ref="FC31:FM31"/>
    <mergeCell ref="IP31:IV31"/>
    <mergeCell ref="CP32:CZ32"/>
    <mergeCell ref="HP32:HZ32"/>
    <mergeCell ref="IC32:IM32"/>
    <mergeCell ref="IP32:IV32"/>
    <mergeCell ref="FC32:FM32"/>
    <mergeCell ref="HC32:HM32"/>
    <mergeCell ref="EP32:EZ32"/>
    <mergeCell ref="GP32:GZ32"/>
    <mergeCell ref="DC32:DM32"/>
    <mergeCell ref="DP32:DZ32"/>
    <mergeCell ref="EC32:EM32"/>
    <mergeCell ref="FP38:FZ38"/>
    <mergeCell ref="GP38:GZ38"/>
    <mergeCell ref="HC38:HM38"/>
    <mergeCell ref="HP38:HZ38"/>
    <mergeCell ref="IC38:IM38"/>
    <mergeCell ref="FP32:FZ32"/>
    <mergeCell ref="GC32:GM32"/>
    <mergeCell ref="GC38:GM38"/>
    <mergeCell ref="HP31:HZ31"/>
    <mergeCell ref="IC31:IM31"/>
    <mergeCell ref="IP38:IV38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IC39:IM39"/>
    <mergeCell ref="HP39:HZ39"/>
    <mergeCell ref="HC39:HM39"/>
    <mergeCell ref="DC39:DM39"/>
    <mergeCell ref="DP39:DZ39"/>
    <mergeCell ref="EC39:EM39"/>
    <mergeCell ref="GC39:GM39"/>
    <mergeCell ref="IP40:IV40"/>
    <mergeCell ref="GC40:GM40"/>
    <mergeCell ref="GP40:GZ40"/>
    <mergeCell ref="HC40:HM40"/>
    <mergeCell ref="HP40:HZ40"/>
    <mergeCell ref="EC40:EM40"/>
    <mergeCell ref="EP38:EZ38"/>
    <mergeCell ref="FC38:FM38"/>
    <mergeCell ref="BC40:BM40"/>
    <mergeCell ref="BP40:BZ40"/>
    <mergeCell ref="IC40:IM40"/>
    <mergeCell ref="FC40:FM40"/>
    <mergeCell ref="FP40:FZ40"/>
    <mergeCell ref="CC40:CM40"/>
    <mergeCell ref="CP40:CZ40"/>
    <mergeCell ref="DC40:DM40"/>
    <mergeCell ref="DP40:D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2012-08-30T11:05:48Z</cp:lastPrinted>
  <dcterms:created xsi:type="dcterms:W3CDTF">1997-12-04T19:04:30Z</dcterms:created>
  <dcterms:modified xsi:type="dcterms:W3CDTF">2012-11-21T15:22:58Z</dcterms:modified>
</cp:coreProperties>
</file>