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72" i="1" l="1"/>
  <c r="G467" i="1" l="1"/>
  <c r="G96" i="1"/>
  <c r="C10" i="12"/>
  <c r="C12" i="12"/>
  <c r="C11" i="12"/>
  <c r="B12" i="12"/>
  <c r="B11" i="12"/>
  <c r="B10" i="12"/>
  <c r="C19" i="12"/>
  <c r="C20" i="12"/>
  <c r="C21" i="12"/>
  <c r="B19" i="12"/>
  <c r="B21" i="12"/>
  <c r="B20" i="12"/>
  <c r="C28" i="12"/>
  <c r="B28" i="12"/>
  <c r="C37" i="12"/>
  <c r="C39" i="12"/>
  <c r="B39" i="12"/>
  <c r="B37" i="12"/>
  <c r="G14" i="1"/>
  <c r="H603" i="1"/>
  <c r="F366" i="1"/>
  <c r="J357" i="1"/>
  <c r="I357" i="1"/>
  <c r="G357" i="1"/>
  <c r="F357" i="1"/>
  <c r="G471" i="1"/>
  <c r="F367" i="1"/>
  <c r="H24" i="1"/>
  <c r="K284" i="1"/>
  <c r="J285" i="1"/>
  <c r="F283" i="1"/>
  <c r="F282" i="1"/>
  <c r="J315" i="1"/>
  <c r="F275" i="1"/>
  <c r="J492" i="1"/>
  <c r="I492" i="1"/>
  <c r="F144" i="1"/>
  <c r="F109" i="1"/>
  <c r="F67" i="1"/>
  <c r="G250" i="1"/>
  <c r="F241" i="1"/>
  <c r="F239" i="1"/>
  <c r="F238" i="1"/>
  <c r="F237" i="1"/>
  <c r="F197" i="1"/>
  <c r="F196" i="1"/>
  <c r="H581" i="1"/>
  <c r="F581" i="1"/>
  <c r="H578" i="1"/>
  <c r="F40" i="2"/>
  <c r="D39" i="2"/>
  <c r="G654" i="1" l="1"/>
  <c r="F47" i="2" l="1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37" i="10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G31" i="13" s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6" i="1" s="1"/>
  <c r="C139" i="2" s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I139" i="1" s="1"/>
  <c r="J120" i="1"/>
  <c r="J135" i="1"/>
  <c r="F146" i="1"/>
  <c r="F161" i="1"/>
  <c r="G146" i="1"/>
  <c r="G161" i="1"/>
  <c r="G168" i="1" s="1"/>
  <c r="H146" i="1"/>
  <c r="H161" i="1"/>
  <c r="I146" i="1"/>
  <c r="I161" i="1"/>
  <c r="C12" i="10"/>
  <c r="C13" i="10"/>
  <c r="C15" i="10"/>
  <c r="C19" i="10"/>
  <c r="C21" i="10"/>
  <c r="L249" i="1"/>
  <c r="L331" i="1"/>
  <c r="L253" i="1"/>
  <c r="C24" i="10" s="1"/>
  <c r="C25" i="10"/>
  <c r="L267" i="1"/>
  <c r="L268" i="1"/>
  <c r="L348" i="1"/>
  <c r="L349" i="1"/>
  <c r="I664" i="1"/>
  <c r="I669" i="1"/>
  <c r="L228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G21" i="2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G42" i="2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E90" i="2" s="1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D102" i="2" s="1"/>
  <c r="E100" i="2"/>
  <c r="F100" i="2"/>
  <c r="C101" i="2"/>
  <c r="D101" i="2"/>
  <c r="E101" i="2"/>
  <c r="F101" i="2"/>
  <c r="E108" i="2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/>
  <c r="E133" i="2"/>
  <c r="F133" i="2"/>
  <c r="K418" i="1"/>
  <c r="K426" i="1"/>
  <c r="K433" i="1" s="1"/>
  <c r="G133" i="2" s="1"/>
  <c r="G143" i="2" s="1"/>
  <c r="G144" i="2" s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I191" i="1" s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K336" i="1"/>
  <c r="K337" i="1" s="1"/>
  <c r="K351" i="1" s="1"/>
  <c r="F361" i="1"/>
  <c r="G361" i="1"/>
  <c r="H361" i="1"/>
  <c r="I361" i="1"/>
  <c r="G633" i="1" s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J433" i="1" s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F433" i="1" s="1"/>
  <c r="G432" i="1"/>
  <c r="H432" i="1"/>
  <c r="I432" i="1"/>
  <c r="J432" i="1"/>
  <c r="H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 s="1"/>
  <c r="G619" i="1"/>
  <c r="J619" i="1" s="1"/>
  <c r="G621" i="1"/>
  <c r="G622" i="1"/>
  <c r="G623" i="1"/>
  <c r="G624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G649" i="1"/>
  <c r="G650" i="1"/>
  <c r="G651" i="1"/>
  <c r="H651" i="1"/>
  <c r="J651" i="1" s="1"/>
  <c r="G652" i="1"/>
  <c r="H652" i="1"/>
  <c r="G653" i="1"/>
  <c r="H653" i="1"/>
  <c r="H654" i="1"/>
  <c r="J351" i="1"/>
  <c r="F191" i="1"/>
  <c r="L255" i="1"/>
  <c r="K256" i="1"/>
  <c r="K270" i="1" s="1"/>
  <c r="I256" i="1"/>
  <c r="I270" i="1" s="1"/>
  <c r="G163" i="2"/>
  <c r="G159" i="2"/>
  <c r="C18" i="2"/>
  <c r="F31" i="2"/>
  <c r="C26" i="10"/>
  <c r="L327" i="1"/>
  <c r="L350" i="1"/>
  <c r="I661" i="1"/>
  <c r="L289" i="1"/>
  <c r="A31" i="12"/>
  <c r="C69" i="2"/>
  <c r="A40" i="12"/>
  <c r="D12" i="13"/>
  <c r="C12" i="13" s="1"/>
  <c r="G8" i="2"/>
  <c r="G161" i="2"/>
  <c r="D61" i="2"/>
  <c r="D62" i="2" s="1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J653" i="1" l="1"/>
  <c r="J652" i="1"/>
  <c r="J641" i="1"/>
  <c r="I433" i="1"/>
  <c r="G433" i="1"/>
  <c r="G139" i="1"/>
  <c r="F31" i="13"/>
  <c r="G660" i="1"/>
  <c r="D50" i="2"/>
  <c r="F660" i="1"/>
  <c r="H660" i="1"/>
  <c r="L361" i="1"/>
  <c r="C20" i="10"/>
  <c r="C16" i="10"/>
  <c r="C11" i="10"/>
  <c r="I337" i="1"/>
  <c r="I351" i="1" s="1"/>
  <c r="F139" i="1"/>
  <c r="J649" i="1"/>
  <c r="J648" i="1"/>
  <c r="G256" i="1"/>
  <c r="G270" i="1" s="1"/>
  <c r="C18" i="10"/>
  <c r="C17" i="10"/>
  <c r="L210" i="1"/>
  <c r="F659" i="1" s="1"/>
  <c r="L246" i="1"/>
  <c r="C108" i="2"/>
  <c r="C114" i="2" s="1"/>
  <c r="C10" i="10"/>
  <c r="F544" i="1"/>
  <c r="G570" i="1"/>
  <c r="I662" i="1"/>
  <c r="A22" i="12"/>
  <c r="G33" i="13"/>
  <c r="C80" i="2"/>
  <c r="E77" i="2"/>
  <c r="E80" i="2" s="1"/>
  <c r="F103" i="2"/>
  <c r="L426" i="1"/>
  <c r="J256" i="1"/>
  <c r="H647" i="1" s="1"/>
  <c r="J647" i="1" s="1"/>
  <c r="H111" i="1"/>
  <c r="F111" i="1"/>
  <c r="J640" i="1"/>
  <c r="J638" i="1"/>
  <c r="K604" i="1"/>
  <c r="G647" i="1" s="1"/>
  <c r="J570" i="1"/>
  <c r="K570" i="1"/>
  <c r="L432" i="1"/>
  <c r="L433" i="1" s="1"/>
  <c r="G637" i="1" s="1"/>
  <c r="J637" i="1" s="1"/>
  <c r="L418" i="1"/>
  <c r="D80" i="2"/>
  <c r="I168" i="1"/>
  <c r="H168" i="1"/>
  <c r="J270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D144" i="2"/>
  <c r="C23" i="10"/>
  <c r="F168" i="1"/>
  <c r="F192" i="1" s="1"/>
  <c r="G626" i="1" s="1"/>
  <c r="J626" i="1" s="1"/>
  <c r="J139" i="1"/>
  <c r="D103" i="2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G31" i="2" s="1"/>
  <c r="J32" i="1"/>
  <c r="K597" i="1"/>
  <c r="G646" i="1" s="1"/>
  <c r="J646" i="1" s="1"/>
  <c r="K544" i="1"/>
  <c r="I192" i="1"/>
  <c r="G629" i="1" s="1"/>
  <c r="J629" i="1" s="1"/>
  <c r="J617" i="1"/>
  <c r="J551" i="1"/>
  <c r="H551" i="1"/>
  <c r="C29" i="10"/>
  <c r="H139" i="1"/>
  <c r="C38" i="10" s="1"/>
  <c r="L400" i="1"/>
  <c r="C138" i="2" s="1"/>
  <c r="L392" i="1"/>
  <c r="A13" i="12"/>
  <c r="F22" i="13"/>
  <c r="H25" i="13"/>
  <c r="C103" i="2"/>
  <c r="E103" i="2"/>
  <c r="J650" i="1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 s="1"/>
  <c r="F551" i="1"/>
  <c r="C35" i="10"/>
  <c r="C36" i="10" s="1"/>
  <c r="L308" i="1"/>
  <c r="D5" i="13"/>
  <c r="E16" i="13"/>
  <c r="C49" i="2"/>
  <c r="C50" i="2" s="1"/>
  <c r="J654" i="1"/>
  <c r="J644" i="1"/>
  <c r="J192" i="1"/>
  <c r="L569" i="1"/>
  <c r="I570" i="1"/>
  <c r="I544" i="1"/>
  <c r="J635" i="1"/>
  <c r="G36" i="2"/>
  <c r="G49" i="2" s="1"/>
  <c r="G50" i="2" s="1"/>
  <c r="J50" i="1"/>
  <c r="C39" i="10"/>
  <c r="H192" i="1"/>
  <c r="G628" i="1" s="1"/>
  <c r="J628" i="1" s="1"/>
  <c r="L564" i="1"/>
  <c r="G544" i="1"/>
  <c r="L544" i="1"/>
  <c r="H544" i="1"/>
  <c r="K550" i="1"/>
  <c r="F143" i="2"/>
  <c r="F144" i="2" s="1"/>
  <c r="F663" i="1" l="1"/>
  <c r="I660" i="1"/>
  <c r="C27" i="10"/>
  <c r="C28" i="10" s="1"/>
  <c r="D27" i="10" s="1"/>
  <c r="G634" i="1"/>
  <c r="J634" i="1" s="1"/>
  <c r="L256" i="1"/>
  <c r="L270" i="1" s="1"/>
  <c r="G631" i="1" s="1"/>
  <c r="J631" i="1" s="1"/>
  <c r="H659" i="1"/>
  <c r="H663" i="1" s="1"/>
  <c r="H666" i="1" s="1"/>
  <c r="K551" i="1"/>
  <c r="L570" i="1"/>
  <c r="C5" i="13"/>
  <c r="C22" i="13"/>
  <c r="F33" i="13"/>
  <c r="C137" i="2"/>
  <c r="C140" i="2" s="1"/>
  <c r="C143" i="2" s="1"/>
  <c r="C144" i="2" s="1"/>
  <c r="L407" i="1"/>
  <c r="C16" i="13"/>
  <c r="E33" i="13"/>
  <c r="D35" i="13" s="1"/>
  <c r="G659" i="1"/>
  <c r="D31" i="13"/>
  <c r="C31" i="13" s="1"/>
  <c r="L337" i="1"/>
  <c r="L351" i="1" s="1"/>
  <c r="G632" i="1" s="1"/>
  <c r="J632" i="1" s="1"/>
  <c r="C25" i="13"/>
  <c r="H33" i="13"/>
  <c r="F666" i="1"/>
  <c r="F671" i="1"/>
  <c r="C4" i="10" s="1"/>
  <c r="G630" i="1"/>
  <c r="J630" i="1" s="1"/>
  <c r="G645" i="1"/>
  <c r="G625" i="1"/>
  <c r="J51" i="1"/>
  <c r="H620" i="1" s="1"/>
  <c r="J620" i="1" s="1"/>
  <c r="C41" i="10"/>
  <c r="D39" i="10" s="1"/>
  <c r="H671" i="1" l="1"/>
  <c r="C6" i="10" s="1"/>
  <c r="D12" i="10"/>
  <c r="D21" i="10"/>
  <c r="D16" i="10"/>
  <c r="D19" i="10"/>
  <c r="D23" i="10"/>
  <c r="D22" i="10"/>
  <c r="D15" i="10"/>
  <c r="D10" i="10"/>
  <c r="D20" i="10"/>
  <c r="D13" i="10"/>
  <c r="D18" i="10"/>
  <c r="D26" i="10"/>
  <c r="D24" i="10"/>
  <c r="C30" i="10"/>
  <c r="D25" i="10"/>
  <c r="D17" i="10"/>
  <c r="D11" i="10"/>
  <c r="G636" i="1"/>
  <c r="J636" i="1" s="1"/>
  <c r="H645" i="1"/>
  <c r="J645" i="1" s="1"/>
  <c r="D33" i="13"/>
  <c r="D36" i="13" s="1"/>
  <c r="G663" i="1"/>
  <c r="I659" i="1"/>
  <c r="I663" i="1" s="1"/>
  <c r="D37" i="10"/>
  <c r="D35" i="10"/>
  <c r="D40" i="10"/>
  <c r="D36" i="10"/>
  <c r="D38" i="10"/>
  <c r="J625" i="1"/>
  <c r="H655" i="1"/>
  <c r="D41" i="10" l="1"/>
  <c r="D28" i="10"/>
  <c r="I666" i="1"/>
  <c r="I671" i="1"/>
  <c r="C7" i="10" s="1"/>
  <c r="G671" i="1"/>
  <c r="C5" i="10" s="1"/>
  <c r="G666" i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<sst xmlns="http://schemas.openxmlformats.org/spreadsheetml/2006/main" count="3964" uniqueCount="926">
  <si>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</si>
  <si>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</si>
  <si>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</si>
  <si>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</si>
  <si>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</si>
  <si>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</si>
  <si>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</si>
  <si>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</si>
  <si>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</si>
  <si>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</si>
  <si>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</si>
  <si>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</si>
  <si>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</si>
  <si>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</si>
  <si>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</si>
  <si>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</si>
  <si>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</si>
  <si>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</si>
  <si>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</si>
  <si>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</si>
  <si>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</si>
  <si>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</si>
  <si>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</si>
  <si>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</si>
  <si>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</si>
  <si>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</si>
  <si>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</si>
  <si>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</si>
  <si>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</si>
  <si>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</si>
  <si>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</si>
  <si>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</si>
  <si>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</si>
  <si>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</si>
  <si>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</si>
  <si>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</si>
  <si>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</si>
  <si>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</si>
  <si>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</si>
  <si>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</si>
  <si>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</si>
  <si>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</si>
  <si>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</si>
  <si>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</si>
  <si>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</si>
  <si>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</si>
  <si>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</si>
  <si>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</si>
  <si>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</si>
  <si>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</si>
  <si>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</si>
  <si>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</si>
  <si>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</si>
  <si>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</si>
  <si>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</si>
  <si>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</si>
  <si>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</si>
  <si>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</si>
  <si>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</si>
  <si>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</si>
  <si>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</si>
  <si>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</si>
  <si>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</si>
  <si>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</si>
  <si>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</si>
  <si>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</si>
  <si>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</si>
  <si>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</si>
  <si>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</si>
  <si>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</si>
  <si>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</si>
  <si>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</si>
  <si>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</si>
  <si>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</si>
  <si>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</si>
  <si>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</si>
  <si>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</si>
  <si>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</si>
  <si>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</si>
  <si>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</si>
  <si>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</si>
  <si>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</si>
  <si>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</si>
  <si>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</si>
  <si>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</si>
  <si>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</si>
  <si>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</si>
  <si>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</si>
  <si>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</si>
  <si>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</si>
  <si>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</si>
  <si>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</si>
  <si>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</si>
  <si>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</si>
  <si>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</si>
  <si>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</si>
  <si>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</si>
  <si>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</si>
  <si>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</si>
  <si>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</si>
  <si>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</si>
  <si>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</si>
  <si>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</si>
  <si>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</si>
  <si>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</si>
  <si>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</si>
  <si>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</si>
  <si>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</si>
  <si>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</si>
  <si>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</si>
  <si>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</si>
  <si>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</si>
  <si>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</si>
  <si>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</si>
  <si>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</si>
  <si>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</si>
  <si>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</si>
  <si>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</si>
  <si>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</si>
  <si>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</si>
  <si>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</si>
  <si>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</si>
  <si>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</si>
  <si>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</si>
  <si>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</si>
  <si>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</si>
  <si>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</si>
  <si>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</si>
  <si>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</si>
  <si>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</si>
  <si>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</si>
  <si>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</si>
  <si>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</si>
  <si>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</si>
  <si>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</si>
  <si>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</si>
  <si>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</si>
  <si>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</si>
  <si>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</si>
  <si>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</si>
  <si>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</si>
  <si>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</si>
  <si>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</si>
  <si>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</si>
  <si>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</si>
  <si>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</si>
  <si>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</si>
  <si>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</si>
  <si>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</si>
  <si>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</si>
  <si>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</si>
  <si>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</si>
  <si>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</si>
  <si>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</si>
  <si>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</si>
  <si>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</si>
  <si>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</si>
  <si>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</si>
  <si>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</si>
  <si>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</si>
  <si>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</si>
  <si>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</si>
  <si>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</si>
  <si>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</si>
  <si>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</si>
  <si>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</si>
  <si>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</si>
  <si>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</si>
  <si>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</si>
  <si>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</si>
  <si>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</si>
  <si>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</si>
  <si>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</si>
  <si>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</si>
  <si>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</si>
  <si>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</si>
  <si>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</si>
  <si>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</si>
  <si>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</si>
  <si>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</si>
  <si>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</si>
  <si>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</si>
  <si>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</si>
  <si>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</si>
  <si>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</si>
  <si>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</si>
  <si>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</si>
  <si>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</si>
  <si>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</si>
  <si>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</si>
  <si>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</si>
  <si>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</si>
  <si>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</si>
  <si>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</si>
  <si>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</si>
  <si>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</si>
  <si>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</si>
  <si>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</si>
  <si>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</si>
  <si>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</si>
  <si>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</si>
  <si>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</si>
  <si>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</si>
  <si>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</si>
  <si>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</si>
  <si>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</si>
  <si>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</si>
  <si>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</si>
  <si>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</si>
  <si>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</si>
  <si>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</si>
  <si>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</si>
  <si>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</si>
  <si>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</si>
  <si>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</si>
  <si>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</si>
  <si>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</si>
  <si>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</si>
  <si>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</si>
  <si>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</si>
  <si>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</si>
  <si>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</si>
  <si>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</si>
  <si>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</si>
  <si>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</si>
  <si>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</si>
  <si>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</si>
  <si>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</si>
  <si>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</si>
  <si>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</si>
  <si>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</si>
  <si>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</si>
  <si>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</si>
  <si>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</si>
  <si>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</si>
  <si>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</si>
  <si>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</si>
  <si>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</si>
  <si>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</si>
  <si>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</si>
  <si>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</si>
  <si>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</si>
  <si>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</si>
  <si>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</si>
  <si>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</si>
  <si>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</si>
  <si>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</si>
  <si>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</si>
  <si>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</si>
  <si>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</si>
  <si>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</si>
  <si>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</si>
  <si>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</si>
  <si>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</si>
  <si>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</si>
  <si>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</si>
  <si>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</si>
  <si>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</si>
  <si>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</si>
  <si>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</si>
  <si>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</si>
  <si>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</si>
  <si>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</si>
  <si>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</si>
  <si>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</si>
  <si>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</si>
  <si>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</si>
  <si>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</si>
  <si>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</si>
  <si>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</si>
  <si>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</si>
  <si>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</si>
  <si>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</si>
  <si>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</si>
  <si>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</si>
  <si>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</si>
  <si>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</si>
  <si>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</si>
  <si>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</si>
  <si>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</si>
  <si>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</si>
  <si>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</si>
  <si>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</si>
  <si>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</si>
  <si>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</si>
  <si>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</si>
  <si>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</si>
  <si>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</si>
  <si>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</si>
  <si>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</si>
  <si>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</si>
  <si>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</si>
  <si>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</si>
  <si>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</si>
  <si>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</si>
  <si>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</si>
  <si>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</si>
  <si>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</si>
  <si>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</si>
  <si>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</si>
  <si>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</si>
  <si>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</si>
  <si>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</si>
  <si>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</si>
  <si>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</si>
  <si>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</si>
  <si>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</si>
  <si>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</si>
  <si>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</si>
  <si>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</si>
  <si>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</si>
  <si>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</si>
  <si>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</si>
  <si>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</si>
  <si>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</si>
  <si>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</si>
  <si>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</si>
  <si>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</si>
  <si>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</si>
  <si>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</si>
  <si>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</si>
  <si>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</si>
  <si>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</si>
  <si>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</si>
  <si>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</si>
  <si>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</si>
  <si>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</si>
  <si>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</si>
  <si>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</si>
  <si>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</si>
  <si>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</si>
  <si>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</si>
  <si>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</si>
  <si>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</si>
  <si>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</si>
  <si>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</si>
  <si>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</si>
  <si>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</si>
  <si>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</si>
  <si>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</si>
  <si>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</si>
  <si>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</si>
  <si>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</si>
  <si>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</si>
  <si>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</si>
  <si>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</si>
  <si>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</si>
  <si>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</si>
  <si>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</si>
  <si>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</si>
  <si>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</si>
  <si>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</si>
  <si>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</si>
  <si>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</si>
  <si>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</si>
  <si>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</si>
  <si>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</si>
  <si>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</si>
  <si>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</si>
  <si>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</si>
  <si>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</si>
  <si>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</si>
  <si>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</si>
  <si>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</si>
  <si>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</si>
  <si>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</si>
  <si>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</si>
  <si>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</si>
  <si>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</si>
  <si>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</si>
  <si>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</si>
  <si>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</si>
  <si>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</si>
  <si>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</si>
  <si>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</si>
  <si>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</si>
  <si>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</si>
  <si>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</si>
  <si>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</si>
  <si>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</si>
  <si>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</si>
  <si>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</si>
  <si>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</si>
  <si>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</si>
  <si>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</si>
  <si>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</si>
  <si>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</si>
  <si>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</si>
  <si>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</si>
  <si>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</si>
  <si>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</si>
  <si>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</si>
  <si>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</si>
  <si>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</si>
  <si>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</si>
  <si>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</si>
  <si>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</si>
  <si>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</si>
  <si>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</si>
  <si>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</si>
  <si>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</si>
  <si>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</si>
  <si>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</si>
  <si>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</si>
  <si>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</si>
  <si>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</si>
  <si>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</si>
  <si>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</si>
  <si>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</si>
  <si>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</si>
  <si>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</si>
  <si>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</si>
  <si>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</si>
  <si>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</si>
  <si>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</si>
  <si>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</si>
  <si>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</si>
  <si>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</si>
  <si>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</si>
  <si>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</si>
  <si>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</si>
  <si>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</si>
  <si>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</si>
  <si>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</si>
  <si>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</si>
  <si>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</si>
  <si>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</si>
  <si>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</si>
  <si>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</si>
  <si>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</si>
  <si>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</si>
  <si>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</si>
  <si>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</si>
  <si>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</si>
  <si>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</si>
  <si>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</si>
  <si>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</si>
  <si>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</si>
  <si>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</si>
  <si>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</si>
  <si>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</si>
  <si>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</si>
  <si>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</si>
  <si>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</si>
  <si>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</si>
  <si>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</si>
  <si>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</si>
  <si>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</si>
  <si>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</si>
  <si>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</si>
  <si>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</si>
  <si>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</si>
  <si>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</si>
  <si>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</si>
  <si>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</si>
  <si>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</si>
  <si>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</si>
  <si>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</si>
  <si>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</si>
  <si>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</si>
  <si>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</si>
  <si>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</si>
  <si>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</si>
  <si>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</si>
  <si>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</si>
  <si>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</si>
  <si>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</si>
  <si>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</si>
  <si>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</si>
  <si>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</si>
  <si>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</si>
  <si>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</si>
  <si>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</si>
  <si>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</si>
  <si>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</si>
  <si>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</si>
  <si>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</si>
  <si>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</si>
  <si>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</si>
  <si>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</si>
  <si>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</si>
  <si>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</si>
  <si>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</si>
  <si>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</si>
  <si>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</si>
  <si>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</si>
  <si>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</si>
  <si>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</si>
  <si>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</si>
  <si>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</si>
  <si>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</si>
  <si>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</si>
  <si>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</si>
  <si>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</si>
  <si>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</si>
  <si>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</si>
  <si>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</si>
  <si>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</si>
  <si>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</si>
  <si>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</si>
  <si>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</si>
  <si>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</si>
  <si>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</si>
  <si>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</si>
  <si>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</si>
  <si>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</si>
  <si>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</si>
  <si>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</si>
  <si>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</si>
  <si>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</si>
  <si>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</si>
  <si>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</si>
  <si>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</si>
  <si>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</si>
  <si>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</si>
  <si>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</si>
  <si>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</si>
  <si>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</si>
  <si>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</si>
  <si>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</si>
  <si>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</si>
  <si>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</si>
  <si>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</si>
  <si>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</si>
  <si>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</si>
  <si>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</si>
  <si>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</si>
  <si>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</si>
  <si>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</si>
  <si>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</si>
  <si>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</si>
  <si>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</si>
  <si>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</si>
  <si>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</si>
  <si>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</si>
  <si>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</si>
  <si>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</si>
  <si>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</si>
  <si>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</si>
  <si>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</si>
  <si>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</si>
  <si>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</si>
  <si>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</si>
  <si>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</si>
  <si>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</si>
  <si>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</si>
  <si>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</si>
  <si>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</si>
  <si>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</si>
  <si>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</si>
  <si>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</si>
  <si>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</si>
  <si>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</si>
  <si>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</si>
  <si>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</si>
  <si>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</si>
  <si>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</si>
  <si>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</si>
  <si>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</si>
  <si>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</si>
  <si>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</si>
  <si>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</si>
  <si>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</si>
  <si>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</si>
  <si>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</si>
  <si>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</si>
  <si>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</si>
  <si>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</si>
  <si>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</si>
  <si>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</si>
  <si>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</si>
  <si>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</si>
  <si>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</si>
  <si>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</si>
  <si>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</si>
  <si>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</si>
  <si>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</si>
  <si>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</si>
  <si>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</si>
  <si>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</si>
  <si>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</si>
  <si>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</si>
  <si>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</si>
  <si>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</si>
  <si>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</si>
  <si>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</si>
  <si>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</si>
  <si>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</si>
  <si>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</si>
  <si>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</si>
  <si>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</si>
  <si>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</si>
  <si>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</si>
  <si>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</si>
  <si>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</si>
  <si>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</si>
  <si>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</si>
  <si>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</si>
  <si>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</si>
  <si>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</si>
  <si>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</si>
  <si>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</si>
  <si>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</si>
  <si>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</si>
  <si>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</si>
  <si>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</si>
  <si>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</si>
  <si>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</si>
  <si>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</si>
  <si>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</si>
  <si>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</si>
  <si>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</si>
  <si>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</si>
  <si>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</si>
  <si>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</si>
  <si>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</si>
  <si>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</si>
  <si>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</si>
  <si>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</si>
  <si>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</si>
  <si>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</si>
  <si>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</si>
  <si>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</si>
  <si>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</si>
  <si>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</si>
  <si>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</si>
  <si>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</si>
  <si>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</si>
  <si>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</si>
  <si>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</si>
  <si>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</si>
  <si>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</si>
  <si>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</si>
  <si>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</si>
  <si>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</si>
  <si>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</si>
  <si>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</si>
  <si>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</si>
  <si>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</si>
  <si>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</si>
  <si>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</si>
  <si>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</si>
  <si>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</si>
  <si>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</si>
  <si>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</si>
  <si>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</si>
  <si>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</si>
  <si>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</si>
  <si>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</si>
  <si>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</si>
  <si>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</si>
  <si>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</si>
  <si>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</si>
  <si>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</si>
  <si>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</si>
  <si>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</si>
  <si>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</si>
  <si>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</si>
  <si>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</si>
  <si>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</si>
  <si>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</si>
  <si>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</si>
  <si>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</si>
  <si>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</si>
  <si>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</si>
  <si>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</si>
  <si>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</si>
  <si>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</si>
  <si>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</si>
  <si>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</si>
  <si>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</si>
  <si>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</si>
  <si>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</si>
  <si>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</si>
  <si>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</si>
  <si>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</si>
  <si>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</si>
  <si>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</si>
  <si>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</si>
  <si>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</si>
  <si>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</si>
  <si>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</si>
  <si>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</si>
  <si>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</si>
  <si>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</si>
  <si>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</si>
  <si>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</si>
  <si>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</si>
  <si>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</si>
  <si>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</si>
  <si>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</si>
  <si>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</si>
  <si>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</si>
  <si>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</si>
  <si>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</si>
  <si>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</si>
  <si>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</si>
  <si>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</si>
  <si>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</si>
  <si>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</si>
  <si>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</si>
  <si>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</si>
  <si>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</si>
  <si>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</si>
  <si>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</si>
  <si>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</si>
  <si>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</si>
  <si>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</si>
  <si>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</si>
  <si>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</si>
  <si>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</si>
  <si>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</si>
  <si>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</si>
  <si>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</si>
  <si>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</si>
  <si>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</si>
  <si>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</si>
  <si>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</si>
  <si>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</si>
  <si>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</si>
  <si>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</si>
  <si>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</si>
  <si>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</si>
  <si>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</si>
  <si>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</si>
  <si>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</si>
  <si>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</si>
  <si>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</si>
  <si>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</si>
  <si>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</si>
  <si>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</si>
  <si>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</si>
  <si>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</si>
  <si>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</si>
  <si>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</si>
  <si>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</si>
  <si>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</si>
  <si>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</si>
  <si>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</si>
  <si>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</si>
  <si>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</si>
  <si>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</si>
  <si>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</si>
  <si>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</si>
  <si>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</si>
  <si>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</si>
  <si>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</si>
  <si>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</si>
  <si>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</si>
  <si>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</si>
  <si>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</si>
  <si>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</si>
  <si>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</si>
  <si>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</si>
  <si>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</si>
  <si>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</si>
  <si>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</si>
  <si>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</si>
  <si>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</si>
  <si>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</si>
  <si>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</si>
  <si>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</si>
  <si>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</si>
  <si>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</si>
  <si>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</si>
  <si>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</si>
  <si>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</si>
  <si>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</si>
  <si>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</si>
  <si>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</si>
  <si>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</si>
  <si>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</si>
  <si>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</si>
  <si>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</si>
  <si>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</si>
  <si>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</si>
  <si>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</si>
  <si>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</si>
  <si>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</si>
  <si>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</si>
  <si>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</si>
  <si>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</si>
  <si>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</si>
  <si>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</si>
  <si>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</si>
  <si>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</si>
  <si>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</si>
  <si>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</si>
  <si>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</si>
  <si>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</si>
  <si>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</si>
  <si>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</si>
  <si>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</si>
  <si>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</si>
  <si>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</si>
  <si>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</si>
  <si>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</si>
  <si>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</si>
  <si>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</si>
  <si>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</si>
  <si>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</si>
  <si>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</si>
  <si>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</si>
  <si>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</si>
  <si>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</si>
  <si>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</si>
  <si>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</si>
  <si>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</si>
  <si>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</si>
  <si>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</si>
  <si>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</si>
  <si>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</si>
  <si>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</si>
  <si>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</si>
  <si>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</si>
  <si>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</si>
  <si>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</si>
  <si>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</si>
  <si>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</si>
  <si>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</si>
  <si>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</si>
  <si>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</si>
  <si>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</si>
  <si>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</si>
  <si>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</si>
  <si>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</si>
  <si>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</si>
  <si>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</si>
  <si>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</si>
  <si>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</si>
  <si>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</si>
  <si>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</si>
  <si>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</si>
  <si>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</si>
  <si>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</si>
  <si>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</si>
  <si>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</si>
  <si>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</si>
  <si>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</si>
  <si>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</si>
  <si>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</si>
  <si>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</si>
  <si>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</si>
  <si>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</si>
  <si>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</si>
  <si>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</si>
  <si>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</si>
  <si>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</si>
  <si>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</si>
  <si>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</si>
  <si>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</si>
  <si>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</si>
  <si>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</si>
  <si>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</si>
  <si>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</si>
  <si>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</si>
  <si>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</si>
  <si>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</si>
  <si>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</si>
  <si>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</si>
  <si>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</si>
  <si>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</si>
  <si>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</si>
  <si>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</si>
  <si>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</si>
  <si>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</si>
  <si>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</si>
  <si>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</si>
  <si>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</si>
  <si>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</si>
  <si>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</si>
  <si>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</si>
  <si>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</si>
  <si>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</si>
  <si>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</si>
  <si>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</si>
  <si>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</si>
  <si>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</si>
  <si>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</si>
  <si>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</si>
  <si>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</si>
  <si>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</si>
  <si>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</si>
  <si>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</si>
  <si>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</si>
  <si>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</si>
  <si>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</si>
  <si>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</si>
  <si>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</si>
  <si>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</si>
  <si>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</si>
  <si>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</si>
  <si>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</si>
  <si>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</si>
  <si>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</si>
  <si>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</si>
  <si>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</si>
  <si>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</si>
  <si>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</si>
  <si>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</si>
  <si>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</si>
  <si>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</si>
  <si>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</si>
  <si>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</si>
  <si>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</si>
  <si>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</si>
  <si>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</si>
  <si>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</si>
  <si>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</si>
  <si>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VARIES</t>
  </si>
  <si>
    <t>07/01/01</t>
  </si>
  <si>
    <t>07/01/03</t>
  </si>
  <si>
    <t>07/01/05</t>
  </si>
  <si>
    <t>PRIOR TO 2020</t>
  </si>
  <si>
    <t>07/01/21</t>
  </si>
  <si>
    <t>07/01/23</t>
  </si>
  <si>
    <t>07/01/25</t>
  </si>
  <si>
    <t>BEYOND 2027</t>
  </si>
  <si>
    <t>6 Col. 1</t>
  </si>
  <si>
    <t>turned over to the city.</t>
  </si>
  <si>
    <t>3 Col. 2</t>
  </si>
  <si>
    <t>6 Col. 2</t>
  </si>
  <si>
    <t>The $ 1,639,293.13 is made up of $ 545,192.37 in excess revenue and $ 1,094,100.76 in appropriation not spent that was</t>
  </si>
  <si>
    <t>$13,917.93 is beginning inventory</t>
  </si>
  <si>
    <t>$13,373.53 is ending inventory</t>
  </si>
  <si>
    <t>Rochester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</si>
</sst>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 x14ac:dyDescent="0.2">
      <c r="A2" s="176" t="s">
        <v>925</v>
      </c>
      <c r="B2" s="21">
        <v>461</v>
      </c>
      <c r="C2" s="21">
        <v>461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 x14ac:dyDescent="0.15">
      <c r="A4" s="1" t="s">
        <v>279</v>
      </c>
      <c r="K4" s="13"/>
      <c r="L4" s="13"/>
    </row>
    <row r="5" spans="1:13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 x14ac:dyDescent="0.15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/>
      <c r="G9" s="18"/>
      <c r="H9" s="18"/>
      <c r="I9" s="18">
        <v>111113.72</v>
      </c>
      <c r="J9" s="67">
        <f>SUM(I438)</f>
        <v>0</v>
      </c>
      <c r="K9" s="24" t="s">
        <v>289</v>
      </c>
      <c r="L9" s="24" t="s">
        <v>289</v>
      </c>
      <c r="M9" s="8"/>
    </row>
    <row r="10" spans="1:13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>
        <v>48498.6</v>
      </c>
      <c r="H12" s="18">
        <v>819360.61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>
        <f>46537.48</f>
        <v>46537.48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13373.53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0</v>
      </c>
      <c r="G19" s="41">
        <f>SUM(G9:G18)</f>
        <v>108409.61</v>
      </c>
      <c r="H19" s="41">
        <f>SUM(H9:H18)</f>
        <v>819360.61</v>
      </c>
      <c r="I19" s="41">
        <f>SUM(I9:I18)</f>
        <v>111113.72</v>
      </c>
      <c r="J19" s="41">
        <f>SUM(J9:J18)</f>
        <v>0</v>
      </c>
      <c r="K19" s="45" t="s">
        <v>289</v>
      </c>
      <c r="L19" s="45" t="s">
        <v>289</v>
      </c>
      <c r="M19" s="8"/>
    </row>
    <row r="20" spans="1:13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>
        <f>647187.46+153598</f>
        <v>800785.46</v>
      </c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0</v>
      </c>
      <c r="H32" s="41">
        <f>SUM(H22:H31)</f>
        <v>800785.46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 x14ac:dyDescent="0.15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13373.53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 x14ac:dyDescent="0.15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 x14ac:dyDescent="0.15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 x14ac:dyDescent="0.15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 x14ac:dyDescent="0.15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 x14ac:dyDescent="0.15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 x14ac:dyDescent="0.15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 x14ac:dyDescent="0.15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</row>
    <row r="44" spans="1:13" s="3" customFormat="1" ht="12" customHeight="1" x14ac:dyDescent="0.15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 x14ac:dyDescent="0.15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>
        <v>26626</v>
      </c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 x14ac:dyDescent="0.15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 x14ac:dyDescent="0.15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95036.08</v>
      </c>
      <c r="H47" s="18">
        <v>18575.150000000001</v>
      </c>
      <c r="I47" s="18">
        <v>84487.72</v>
      </c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 x14ac:dyDescent="0.15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 x14ac:dyDescent="0.2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/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0</v>
      </c>
      <c r="G50" s="41">
        <f>SUM(G35:G49)</f>
        <v>108409.61</v>
      </c>
      <c r="H50" s="41">
        <f>SUM(H35:H49)</f>
        <v>18575.150000000001</v>
      </c>
      <c r="I50" s="41">
        <f>SUM(I35:I49)</f>
        <v>111113.72</v>
      </c>
      <c r="J50" s="41">
        <f>SUM(J35:J49)</f>
        <v>0</v>
      </c>
      <c r="K50" s="45" t="s">
        <v>289</v>
      </c>
      <c r="L50" s="45" t="s">
        <v>289</v>
      </c>
    </row>
    <row r="51" spans="1:13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0</v>
      </c>
      <c r="G51" s="41">
        <f>G50+G32</f>
        <v>108409.61</v>
      </c>
      <c r="H51" s="41">
        <f>H50+H32</f>
        <v>819360.61</v>
      </c>
      <c r="I51" s="41">
        <f>I50+I32</f>
        <v>111113.72</v>
      </c>
      <c r="J51" s="41">
        <f>J50+J32</f>
        <v>0</v>
      </c>
      <c r="K51" s="45" t="s">
        <v>289</v>
      </c>
      <c r="L51" s="45" t="s">
        <v>289</v>
      </c>
      <c r="M51" s="8"/>
    </row>
    <row r="52" spans="1:13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22218116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22218116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>
        <v>10935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>
        <f>2312403.12</f>
        <v>2312403.12</v>
      </c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360966.49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>
        <v>21792.41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2706097.0200000005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/>
      <c r="G95" s="18"/>
      <c r="H95" s="18"/>
      <c r="I95" s="18"/>
      <c r="J95" s="18"/>
      <c r="K95" s="24" t="s">
        <v>289</v>
      </c>
      <c r="L95" s="24" t="s">
        <v>289</v>
      </c>
      <c r="M95" s="8"/>
    </row>
    <row r="96" spans="1:13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f>752993.48+399.31</f>
        <v>753392.79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>
        <v>11679</v>
      </c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>
        <v>21178</v>
      </c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13955.42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58873.71</v>
      </c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11545.32+28497.52</f>
        <v>40042.839999999997</v>
      </c>
      <c r="G109" s="18">
        <v>26129.78</v>
      </c>
      <c r="H109" s="18">
        <v>1240</v>
      </c>
      <c r="I109" s="18">
        <v>111113.72</v>
      </c>
      <c r="J109" s="18"/>
      <c r="K109" s="24" t="s">
        <v>289</v>
      </c>
      <c r="L109" s="24" t="s">
        <v>289</v>
      </c>
      <c r="M109" s="8"/>
    </row>
    <row r="110" spans="1:13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145728.97</v>
      </c>
      <c r="G110" s="41">
        <f>SUM(G95:G109)</f>
        <v>779522.57000000007</v>
      </c>
      <c r="H110" s="41">
        <f>SUM(H95:H109)</f>
        <v>1240</v>
      </c>
      <c r="I110" s="41">
        <f>SUM(I95:I109)</f>
        <v>111113.72</v>
      </c>
      <c r="J110" s="41">
        <f>SUM(J95:J109)</f>
        <v>0</v>
      </c>
      <c r="K110" s="45" t="s">
        <v>289</v>
      </c>
      <c r="L110" s="45" t="s">
        <v>289</v>
      </c>
    </row>
    <row r="111" spans="1:13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25069941.989999998</v>
      </c>
      <c r="G111" s="41">
        <f>G59+G110</f>
        <v>779522.57000000007</v>
      </c>
      <c r="H111" s="41">
        <f>H59+H78+H93+H110</f>
        <v>1240</v>
      </c>
      <c r="I111" s="41">
        <f>I59+I110</f>
        <v>111113.72</v>
      </c>
      <c r="J111" s="41">
        <f>J59+J110</f>
        <v>0</v>
      </c>
      <c r="K111" s="45" t="s">
        <v>289</v>
      </c>
      <c r="L111" s="45" t="s">
        <v>289</v>
      </c>
      <c r="M111" s="8"/>
    </row>
    <row r="112" spans="1:13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22438667.379999999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5070310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 x14ac:dyDescent="0.15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v>19441.62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52422.38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27580841.379999999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>
        <v>898637.89</v>
      </c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352946.14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>
        <v>57226.73</v>
      </c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>
        <v>28726.67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19856.46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>
        <v>72269.72</v>
      </c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1337537.43</v>
      </c>
      <c r="G135" s="41">
        <f>SUM(G122:G134)</f>
        <v>92126.18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28918378.809999999</v>
      </c>
      <c r="G139" s="41">
        <f>G120+SUM(G135:G136)</f>
        <v>92126.18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>
        <f>70167.34+149395.23</f>
        <v>219562.57</v>
      </c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219562.57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2250290.83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567163.57999999996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>
        <v>189055.76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>
        <v>17122.18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978193.46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1394728.31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499969.55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>
        <v>37979.21</v>
      </c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499969.55</v>
      </c>
      <c r="G161" s="41">
        <f>SUM(G149:G160)</f>
        <v>978193.46</v>
      </c>
      <c r="H161" s="41">
        <f>SUM(H149:H160)</f>
        <v>4456339.87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>
        <v>72651.45</v>
      </c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792183.57</v>
      </c>
      <c r="G168" s="41">
        <f>G146+G161+SUM(G162:G167)</f>
        <v>978193.46</v>
      </c>
      <c r="H168" s="41">
        <f>H146+H161+SUM(H162:H167)</f>
        <v>4456339.87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54780504.369999997</v>
      </c>
      <c r="G192" s="47">
        <f>G111+G139+G168+G191</f>
        <v>1849842.21</v>
      </c>
      <c r="H192" s="47">
        <f>H111+H139+H168+H191</f>
        <v>4457579.87</v>
      </c>
      <c r="I192" s="47">
        <f>I111+I139+I168+I191</f>
        <v>111113.72</v>
      </c>
      <c r="J192" s="47">
        <f>J111+J139+J191</f>
        <v>0</v>
      </c>
      <c r="K192" s="45" t="s">
        <v>289</v>
      </c>
      <c r="L192" s="45" t="s">
        <v>289</v>
      </c>
      <c r="M192" s="8"/>
    </row>
    <row r="193" spans="1:13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6570402.17+0.01</f>
        <v>6570402.1799999997</v>
      </c>
      <c r="G196" s="18">
        <v>2621942.59</v>
      </c>
      <c r="H196" s="18">
        <v>104060.75</v>
      </c>
      <c r="I196" s="18">
        <v>233653.57</v>
      </c>
      <c r="J196" s="18">
        <v>13493.44</v>
      </c>
      <c r="K196" s="18">
        <v>428.08</v>
      </c>
      <c r="L196" s="19">
        <f>SUM(F196:K196)</f>
        <v>9543980.6099999994</v>
      </c>
      <c r="M196" s="8"/>
    </row>
    <row r="197" spans="1:13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4640888.25+0.01</f>
        <v>4640888.26</v>
      </c>
      <c r="G197" s="18">
        <v>1517186.69</v>
      </c>
      <c r="H197" s="18">
        <v>379142.91</v>
      </c>
      <c r="I197" s="18">
        <v>27478.13</v>
      </c>
      <c r="J197" s="18">
        <v>4351.25</v>
      </c>
      <c r="K197" s="18">
        <v>530</v>
      </c>
      <c r="L197" s="19">
        <f>SUM(F197:K197)</f>
        <v>6569577.2399999993</v>
      </c>
      <c r="M197" s="8"/>
    </row>
    <row r="198" spans="1:13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</row>
    <row r="199" spans="1:13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</row>
    <row r="200" spans="1:13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446844.97</v>
      </c>
      <c r="G201" s="18">
        <v>178830.9</v>
      </c>
      <c r="H201" s="18">
        <v>1107.56</v>
      </c>
      <c r="I201" s="18">
        <v>3629.86</v>
      </c>
      <c r="J201" s="18">
        <v>1845.65</v>
      </c>
      <c r="K201" s="18"/>
      <c r="L201" s="19">
        <f t="shared" ref="L201:L207" si="0">SUM(F201:K201)</f>
        <v>632258.94000000006</v>
      </c>
      <c r="M201" s="8"/>
    </row>
    <row r="202" spans="1:13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315296.90999999997</v>
      </c>
      <c r="G202" s="18">
        <v>264280.06</v>
      </c>
      <c r="H202" s="18">
        <v>120422.84</v>
      </c>
      <c r="I202" s="18">
        <v>82815.899999999994</v>
      </c>
      <c r="J202" s="18">
        <v>298419.65000000002</v>
      </c>
      <c r="K202" s="18">
        <v>204.19</v>
      </c>
      <c r="L202" s="19">
        <f t="shared" si="0"/>
        <v>1081439.5499999998</v>
      </c>
      <c r="M202" s="8"/>
    </row>
    <row r="203" spans="1:13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399769.63</v>
      </c>
      <c r="G203" s="18">
        <v>150316.53</v>
      </c>
      <c r="H203" s="18">
        <v>121133.89</v>
      </c>
      <c r="I203" s="18">
        <v>8178.8</v>
      </c>
      <c r="J203" s="18">
        <v>5732.1</v>
      </c>
      <c r="K203" s="18">
        <v>36711.51</v>
      </c>
      <c r="L203" s="19">
        <f t="shared" si="0"/>
        <v>721842.46000000008</v>
      </c>
      <c r="M203" s="8"/>
    </row>
    <row r="204" spans="1:13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1160839.17</v>
      </c>
      <c r="G204" s="18">
        <v>500391.04</v>
      </c>
      <c r="H204" s="18">
        <v>600</v>
      </c>
      <c r="I204" s="18">
        <v>9874.2099999999991</v>
      </c>
      <c r="J204" s="18">
        <v>4515.7299999999996</v>
      </c>
      <c r="K204" s="18">
        <v>5225.8500000000004</v>
      </c>
      <c r="L204" s="19">
        <f t="shared" si="0"/>
        <v>1681446</v>
      </c>
      <c r="M204" s="8"/>
    </row>
    <row r="205" spans="1:13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>
        <v>131541.54</v>
      </c>
      <c r="G205" s="18">
        <v>54244.800000000003</v>
      </c>
      <c r="H205" s="18">
        <v>12285.1</v>
      </c>
      <c r="I205" s="18">
        <v>2651.14</v>
      </c>
      <c r="J205" s="18"/>
      <c r="K205" s="18">
        <v>227.24</v>
      </c>
      <c r="L205" s="19">
        <f t="shared" si="0"/>
        <v>200949.82000000004</v>
      </c>
      <c r="M205" s="8"/>
    </row>
    <row r="206" spans="1:13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698163.19</v>
      </c>
      <c r="G206" s="18">
        <v>334030.5</v>
      </c>
      <c r="H206" s="18">
        <v>415739.45</v>
      </c>
      <c r="I206" s="18">
        <v>401542.73</v>
      </c>
      <c r="J206" s="18">
        <v>31996.51</v>
      </c>
      <c r="K206" s="18">
        <v>117</v>
      </c>
      <c r="L206" s="19">
        <f t="shared" si="0"/>
        <v>1881589.38</v>
      </c>
      <c r="M206" s="8"/>
    </row>
    <row r="207" spans="1:13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648628.71</v>
      </c>
      <c r="I207" s="18"/>
      <c r="J207" s="18"/>
      <c r="K207" s="18"/>
      <c r="L207" s="19">
        <f t="shared" si="0"/>
        <v>648628.71</v>
      </c>
      <c r="M207" s="8"/>
    </row>
    <row r="208" spans="1:13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>
        <v>1917.38</v>
      </c>
      <c r="H208" s="18"/>
      <c r="I208" s="18"/>
      <c r="J208" s="18"/>
      <c r="K208" s="18"/>
      <c r="L208" s="19">
        <f>SUM(F208:K208)</f>
        <v>1917.38</v>
      </c>
      <c r="M208" s="8"/>
    </row>
    <row r="209" spans="1:13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14363745.85</v>
      </c>
      <c r="G210" s="41">
        <f t="shared" si="1"/>
        <v>5623140.4899999993</v>
      </c>
      <c r="H210" s="41">
        <f t="shared" si="1"/>
        <v>1803121.21</v>
      </c>
      <c r="I210" s="41">
        <f t="shared" si="1"/>
        <v>769824.34</v>
      </c>
      <c r="J210" s="41">
        <f t="shared" si="1"/>
        <v>360354.33</v>
      </c>
      <c r="K210" s="41">
        <f t="shared" si="1"/>
        <v>43443.869999999995</v>
      </c>
      <c r="L210" s="41">
        <f t="shared" si="1"/>
        <v>22963630.089999996</v>
      </c>
      <c r="M210" s="8"/>
    </row>
    <row r="211" spans="1:13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>
        <v>3349696.85</v>
      </c>
      <c r="G214" s="18">
        <v>1377613.14</v>
      </c>
      <c r="H214" s="18">
        <v>47725.68</v>
      </c>
      <c r="I214" s="18">
        <v>83780.5</v>
      </c>
      <c r="J214" s="18">
        <v>8009.19</v>
      </c>
      <c r="K214" s="18">
        <v>1390</v>
      </c>
      <c r="L214" s="19">
        <f>SUM(F214:K214)</f>
        <v>4868215.3600000003</v>
      </c>
      <c r="M214" s="8"/>
    </row>
    <row r="215" spans="1:13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>
        <v>1360286.48</v>
      </c>
      <c r="G215" s="18">
        <v>578715.11</v>
      </c>
      <c r="H215" s="18">
        <v>656874.59</v>
      </c>
      <c r="I215" s="18">
        <v>9025.58</v>
      </c>
      <c r="J215" s="18"/>
      <c r="K215" s="18">
        <v>715</v>
      </c>
      <c r="L215" s="19">
        <f>SUM(F215:K215)</f>
        <v>2605616.7599999998</v>
      </c>
      <c r="M215" s="8"/>
    </row>
    <row r="216" spans="1:13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>
        <v>36539.51</v>
      </c>
      <c r="G217" s="18">
        <v>8470.82</v>
      </c>
      <c r="H217" s="18">
        <v>7390.39</v>
      </c>
      <c r="I217" s="18">
        <v>2028.19</v>
      </c>
      <c r="J217" s="18">
        <v>4803.58</v>
      </c>
      <c r="K217" s="18">
        <v>4800.2</v>
      </c>
      <c r="L217" s="19">
        <f>SUM(F217:K217)</f>
        <v>64032.69</v>
      </c>
      <c r="M217" s="8"/>
    </row>
    <row r="218" spans="1:13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>
        <v>390410.64</v>
      </c>
      <c r="G219" s="18">
        <v>163899.16</v>
      </c>
      <c r="H219" s="18">
        <v>484.15</v>
      </c>
      <c r="I219" s="18">
        <v>1014.97</v>
      </c>
      <c r="J219" s="18">
        <v>905.37</v>
      </c>
      <c r="K219" s="18"/>
      <c r="L219" s="19">
        <f t="shared" ref="L219:L225" si="2">SUM(F219:K219)</f>
        <v>556714.29</v>
      </c>
      <c r="M219" s="8"/>
    </row>
    <row r="220" spans="1:13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>
        <v>156879.32</v>
      </c>
      <c r="G220" s="18">
        <v>124345.74</v>
      </c>
      <c r="H220" s="18">
        <v>59072.85</v>
      </c>
      <c r="I220" s="18">
        <v>46903.34</v>
      </c>
      <c r="J220" s="18">
        <v>149301.20000000001</v>
      </c>
      <c r="K220" s="18">
        <v>100.16</v>
      </c>
      <c r="L220" s="19">
        <f t="shared" si="2"/>
        <v>536602.61</v>
      </c>
      <c r="M220" s="8"/>
    </row>
    <row r="221" spans="1:13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>
        <v>196105.05</v>
      </c>
      <c r="G221" s="18">
        <v>73737.039999999994</v>
      </c>
      <c r="H221" s="18">
        <v>59421.64</v>
      </c>
      <c r="I221" s="18">
        <v>4012.07</v>
      </c>
      <c r="J221" s="18">
        <v>2811.85</v>
      </c>
      <c r="K221" s="18">
        <v>18008.650000000001</v>
      </c>
      <c r="L221" s="19">
        <f t="shared" si="2"/>
        <v>354096.3</v>
      </c>
      <c r="M221" s="8"/>
    </row>
    <row r="222" spans="1:13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>
        <v>297886.19</v>
      </c>
      <c r="G222" s="18">
        <v>146469.68</v>
      </c>
      <c r="H222" s="18">
        <v>303.76</v>
      </c>
      <c r="I222" s="18">
        <v>8785.09</v>
      </c>
      <c r="J222" s="18"/>
      <c r="K222" s="18">
        <v>568</v>
      </c>
      <c r="L222" s="19">
        <f t="shared" si="2"/>
        <v>454012.72000000003</v>
      </c>
      <c r="M222" s="8"/>
    </row>
    <row r="223" spans="1:13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>
        <v>64527.07</v>
      </c>
      <c r="G223" s="18">
        <v>26609.52</v>
      </c>
      <c r="H223" s="18">
        <v>6026.39</v>
      </c>
      <c r="I223" s="18">
        <v>1300.5</v>
      </c>
      <c r="J223" s="18"/>
      <c r="K223" s="18">
        <v>111.47</v>
      </c>
      <c r="L223" s="19">
        <f t="shared" si="2"/>
        <v>98574.95</v>
      </c>
      <c r="M223" s="8"/>
    </row>
    <row r="224" spans="1:13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>
        <v>304119.61</v>
      </c>
      <c r="G224" s="18">
        <v>181944.62</v>
      </c>
      <c r="H224" s="18">
        <v>201011.85</v>
      </c>
      <c r="I224" s="18">
        <v>196473.44</v>
      </c>
      <c r="J224" s="18">
        <v>2360.7600000000002</v>
      </c>
      <c r="K224" s="18">
        <v>57</v>
      </c>
      <c r="L224" s="19">
        <f t="shared" si="2"/>
        <v>885967.28</v>
      </c>
      <c r="M224" s="8"/>
    </row>
    <row r="225" spans="1:13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>
        <v>484641.74</v>
      </c>
      <c r="I225" s="18"/>
      <c r="J225" s="18"/>
      <c r="K225" s="18"/>
      <c r="L225" s="19">
        <f t="shared" si="2"/>
        <v>484641.74</v>
      </c>
      <c r="M225" s="8"/>
    </row>
    <row r="226" spans="1:13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>
        <v>940.56</v>
      </c>
      <c r="H226" s="18"/>
      <c r="I226" s="18"/>
      <c r="J226" s="18"/>
      <c r="K226" s="18"/>
      <c r="L226" s="19">
        <f>SUM(F226:K226)</f>
        <v>940.56</v>
      </c>
      <c r="M226" s="8"/>
    </row>
    <row r="227" spans="1:13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6156450.7200000007</v>
      </c>
      <c r="G228" s="41">
        <f>SUM(G214:G227)</f>
        <v>2682745.3900000006</v>
      </c>
      <c r="H228" s="41">
        <f>SUM(H214:H227)</f>
        <v>1522953.04</v>
      </c>
      <c r="I228" s="41">
        <f>SUM(I214:I227)</f>
        <v>353323.68000000005</v>
      </c>
      <c r="J228" s="41">
        <f>SUM(J214:J227)</f>
        <v>168191.95000000004</v>
      </c>
      <c r="K228" s="41">
        <f t="shared" si="3"/>
        <v>25750.480000000003</v>
      </c>
      <c r="L228" s="41">
        <f t="shared" si="3"/>
        <v>10909415.260000002</v>
      </c>
      <c r="M228" s="8"/>
    </row>
    <row r="229" spans="1:13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>
        <v>3949772.38</v>
      </c>
      <c r="G232" s="18">
        <v>1610995.89</v>
      </c>
      <c r="H232" s="18">
        <v>69410.75</v>
      </c>
      <c r="I232" s="18">
        <v>134663.89000000001</v>
      </c>
      <c r="J232" s="18">
        <v>22042.74</v>
      </c>
      <c r="K232" s="18">
        <v>22260</v>
      </c>
      <c r="L232" s="19">
        <f>SUM(F232:K232)</f>
        <v>5809145.6499999994</v>
      </c>
      <c r="M232" s="8"/>
    </row>
    <row r="233" spans="1:13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>
        <v>1243445.8700000001</v>
      </c>
      <c r="G233" s="18">
        <v>531757.61</v>
      </c>
      <c r="H233" s="18">
        <v>1054502.1100000001</v>
      </c>
      <c r="I233" s="18">
        <v>7039.59</v>
      </c>
      <c r="J233" s="18">
        <v>743.26</v>
      </c>
      <c r="K233" s="18">
        <v>837</v>
      </c>
      <c r="L233" s="19">
        <f>SUM(F233:K233)</f>
        <v>2838325.4399999995</v>
      </c>
      <c r="M233" s="8"/>
    </row>
    <row r="234" spans="1:13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>
        <v>1196044.5</v>
      </c>
      <c r="G234" s="18">
        <v>525115.81999999995</v>
      </c>
      <c r="H234" s="18">
        <v>59797.1</v>
      </c>
      <c r="I234" s="18">
        <v>50208.75</v>
      </c>
      <c r="J234" s="18">
        <v>7603.77</v>
      </c>
      <c r="K234" s="18"/>
      <c r="L234" s="19">
        <f>SUM(F234:K234)</f>
        <v>1838769.94</v>
      </c>
      <c r="M234" s="8"/>
    </row>
    <row r="235" spans="1:13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>
        <v>270244.92</v>
      </c>
      <c r="G235" s="18">
        <v>63949.64</v>
      </c>
      <c r="H235" s="18">
        <v>66513.509999999995</v>
      </c>
      <c r="I235" s="18">
        <v>18253.72</v>
      </c>
      <c r="J235" s="18">
        <v>43232.24</v>
      </c>
      <c r="K235" s="18">
        <v>43201.8</v>
      </c>
      <c r="L235" s="19">
        <f>SUM(F235:K235)</f>
        <v>505395.83</v>
      </c>
      <c r="M235" s="8"/>
    </row>
    <row r="236" spans="1:13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>
        <f>691416.66+0.02</f>
        <v>691416.68</v>
      </c>
      <c r="G237" s="18">
        <v>256751.53</v>
      </c>
      <c r="H237" s="18">
        <v>2672.81</v>
      </c>
      <c r="I237" s="18">
        <v>3665.38</v>
      </c>
      <c r="J237" s="18">
        <v>5179.54</v>
      </c>
      <c r="K237" s="18">
        <v>320</v>
      </c>
      <c r="L237" s="19">
        <f t="shared" ref="L237:L243" si="4">SUM(F237:K237)</f>
        <v>960005.94000000018</v>
      </c>
      <c r="M237" s="8"/>
    </row>
    <row r="238" spans="1:13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>
        <f>233410.65+0.02</f>
        <v>233410.66999999998</v>
      </c>
      <c r="G238" s="18">
        <v>177876.13</v>
      </c>
      <c r="H238" s="18">
        <v>92892.56</v>
      </c>
      <c r="I238" s="18">
        <v>42627.86</v>
      </c>
      <c r="J238" s="18">
        <v>231917.12</v>
      </c>
      <c r="K238" s="18">
        <v>157.51</v>
      </c>
      <c r="L238" s="19">
        <f t="shared" si="4"/>
        <v>778881.85</v>
      </c>
      <c r="M238" s="8"/>
    </row>
    <row r="239" spans="1:13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>
        <f>418125.23-0.01</f>
        <v>418125.22</v>
      </c>
      <c r="G239" s="18">
        <v>250335.37</v>
      </c>
      <c r="H239" s="18">
        <v>93543.17</v>
      </c>
      <c r="I239" s="18">
        <v>10883.16</v>
      </c>
      <c r="J239" s="18">
        <v>10535.66</v>
      </c>
      <c r="K239" s="18">
        <v>28318.77</v>
      </c>
      <c r="L239" s="19">
        <f t="shared" si="4"/>
        <v>811741.35000000009</v>
      </c>
      <c r="M239" s="8"/>
    </row>
    <row r="240" spans="1:13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>
        <v>601393.36</v>
      </c>
      <c r="G240" s="18">
        <v>205830.97</v>
      </c>
      <c r="H240" s="18">
        <v>16568.12</v>
      </c>
      <c r="I240" s="18">
        <v>19802.12</v>
      </c>
      <c r="J240" s="18">
        <v>4198.9799999999996</v>
      </c>
      <c r="K240" s="18">
        <v>7985</v>
      </c>
      <c r="L240" s="19">
        <f t="shared" si="4"/>
        <v>855778.54999999993</v>
      </c>
      <c r="M240" s="8"/>
    </row>
    <row r="241" spans="1:13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>
        <f>101469.38+0.01</f>
        <v>101469.39</v>
      </c>
      <c r="G241" s="18">
        <v>41843.699999999997</v>
      </c>
      <c r="H241" s="18">
        <v>9476.56</v>
      </c>
      <c r="I241" s="18">
        <v>2045.05</v>
      </c>
      <c r="J241" s="18"/>
      <c r="K241" s="18">
        <v>175.29</v>
      </c>
      <c r="L241" s="19">
        <f t="shared" si="4"/>
        <v>155009.99</v>
      </c>
      <c r="M241" s="8"/>
    </row>
    <row r="242" spans="1:13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>
        <v>512715.98</v>
      </c>
      <c r="G242" s="18">
        <v>238512.07</v>
      </c>
      <c r="H242" s="18">
        <v>480706.13</v>
      </c>
      <c r="I242" s="18">
        <v>359102.63</v>
      </c>
      <c r="J242" s="18">
        <v>8843.07</v>
      </c>
      <c r="K242" s="18">
        <v>126</v>
      </c>
      <c r="L242" s="19">
        <f t="shared" si="4"/>
        <v>1600005.8800000001</v>
      </c>
      <c r="M242" s="8"/>
    </row>
    <row r="243" spans="1:13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706024.84</v>
      </c>
      <c r="I243" s="18"/>
      <c r="J243" s="18"/>
      <c r="K243" s="18"/>
      <c r="L243" s="19">
        <f t="shared" si="4"/>
        <v>706024.84</v>
      </c>
      <c r="M243" s="8"/>
    </row>
    <row r="244" spans="1:13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>
        <v>1479.04</v>
      </c>
      <c r="H244" s="18"/>
      <c r="I244" s="18"/>
      <c r="J244" s="18"/>
      <c r="K244" s="18"/>
      <c r="L244" s="19">
        <f>SUM(F244:K244)</f>
        <v>1479.04</v>
      </c>
      <c r="M244" s="8"/>
    </row>
    <row r="245" spans="1:13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9218038.9700000007</v>
      </c>
      <c r="G246" s="41">
        <f t="shared" si="5"/>
        <v>3904447.77</v>
      </c>
      <c r="H246" s="41">
        <f t="shared" si="5"/>
        <v>2652107.66</v>
      </c>
      <c r="I246" s="41">
        <f t="shared" si="5"/>
        <v>648292.14999999991</v>
      </c>
      <c r="J246" s="41">
        <f t="shared" si="5"/>
        <v>334296.37999999995</v>
      </c>
      <c r="K246" s="41">
        <f t="shared" si="5"/>
        <v>103381.37</v>
      </c>
      <c r="L246" s="41">
        <f t="shared" si="5"/>
        <v>16860564.300000001</v>
      </c>
      <c r="M246" s="8"/>
    </row>
    <row r="247" spans="1:13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>
        <v>8872.07</v>
      </c>
      <c r="G250" s="18">
        <f>677.37+481.66+70</f>
        <v>1229.03</v>
      </c>
      <c r="H250" s="18"/>
      <c r="I250" s="18"/>
      <c r="J250" s="18"/>
      <c r="K250" s="18"/>
      <c r="L250" s="19">
        <f t="shared" si="6"/>
        <v>10101.1</v>
      </c>
      <c r="M250" s="8"/>
    </row>
    <row r="251" spans="1:13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138189.20000000001</v>
      </c>
      <c r="I254" s="18"/>
      <c r="J254" s="18"/>
      <c r="K254" s="18"/>
      <c r="L254" s="19">
        <f t="shared" si="6"/>
        <v>138189.20000000001</v>
      </c>
      <c r="M254" s="8"/>
    </row>
    <row r="255" spans="1:13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8872.07</v>
      </c>
      <c r="G255" s="41">
        <f t="shared" si="7"/>
        <v>1229.03</v>
      </c>
      <c r="H255" s="41">
        <f t="shared" si="7"/>
        <v>138189.20000000001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148290.30000000002</v>
      </c>
      <c r="M255" s="8"/>
    </row>
    <row r="256" spans="1:13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29747107.609999999</v>
      </c>
      <c r="G256" s="41">
        <f t="shared" si="8"/>
        <v>12211562.68</v>
      </c>
      <c r="H256" s="41">
        <f t="shared" si="8"/>
        <v>6116371.1100000003</v>
      </c>
      <c r="I256" s="41">
        <f t="shared" si="8"/>
        <v>1771440.17</v>
      </c>
      <c r="J256" s="41">
        <f t="shared" si="8"/>
        <v>862842.65999999992</v>
      </c>
      <c r="K256" s="41">
        <f t="shared" si="8"/>
        <v>172575.72</v>
      </c>
      <c r="L256" s="41">
        <f t="shared" si="8"/>
        <v>50881899.949999988</v>
      </c>
      <c r="M256" s="8"/>
    </row>
    <row r="257" spans="1:13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>
        <v>1748918.18</v>
      </c>
      <c r="L259" s="19">
        <f>SUM(F259:K259)</f>
        <v>1748918.18</v>
      </c>
      <c r="M259" s="8"/>
    </row>
    <row r="260" spans="1:13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510393.11</v>
      </c>
      <c r="L260" s="19">
        <f>SUM(F260:K260)</f>
        <v>510393.11</v>
      </c>
    </row>
    <row r="261" spans="1:13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</row>
    <row r="263" spans="1:13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2259311.29</v>
      </c>
      <c r="L269" s="41">
        <f t="shared" si="9"/>
        <v>2259311.29</v>
      </c>
    </row>
    <row r="270" spans="1:13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29747107.609999999</v>
      </c>
      <c r="G270" s="42">
        <f t="shared" si="11"/>
        <v>12211562.68</v>
      </c>
      <c r="H270" s="42">
        <f t="shared" si="11"/>
        <v>6116371.1100000003</v>
      </c>
      <c r="I270" s="42">
        <f t="shared" si="11"/>
        <v>1771440.17</v>
      </c>
      <c r="J270" s="42">
        <f t="shared" si="11"/>
        <v>862842.65999999992</v>
      </c>
      <c r="K270" s="42">
        <f t="shared" si="11"/>
        <v>2431887.0100000002</v>
      </c>
      <c r="L270" s="42">
        <f t="shared" si="11"/>
        <v>53141211.239999987</v>
      </c>
      <c r="M270" s="8"/>
    </row>
    <row r="271" spans="1:13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204743.74+0.01</f>
        <v>204743.75</v>
      </c>
      <c r="G275" s="18">
        <v>80715.77</v>
      </c>
      <c r="H275" s="18">
        <v>121.58</v>
      </c>
      <c r="I275" s="18">
        <v>1303.29</v>
      </c>
      <c r="J275" s="18">
        <v>1189.25</v>
      </c>
      <c r="K275" s="18"/>
      <c r="L275" s="19">
        <f>SUM(F275:K275)</f>
        <v>288073.64</v>
      </c>
      <c r="M275" s="8"/>
    </row>
    <row r="276" spans="1:13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v>1019771.47</v>
      </c>
      <c r="G276" s="18">
        <v>335372.42</v>
      </c>
      <c r="H276" s="18">
        <v>13589.75</v>
      </c>
      <c r="I276" s="18">
        <v>22224.91</v>
      </c>
      <c r="J276" s="18">
        <v>67466.009999999995</v>
      </c>
      <c r="K276" s="18"/>
      <c r="L276" s="19">
        <f>SUM(F276:K276)</f>
        <v>1458424.5599999998</v>
      </c>
      <c r="M276" s="8"/>
    </row>
    <row r="277" spans="1:13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>
        <v>11660.39</v>
      </c>
      <c r="G277" s="18">
        <v>2207.62</v>
      </c>
      <c r="H277" s="18"/>
      <c r="I277" s="18">
        <v>3133.05</v>
      </c>
      <c r="J277" s="18"/>
      <c r="K277" s="18"/>
      <c r="L277" s="19">
        <f>SUM(F277:K277)</f>
        <v>17001.059999999998</v>
      </c>
      <c r="M277" s="8"/>
    </row>
    <row r="278" spans="1:13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v>336445.05</v>
      </c>
      <c r="G280" s="18">
        <v>101356.47</v>
      </c>
      <c r="H280" s="18">
        <v>8278.85</v>
      </c>
      <c r="I280" s="18"/>
      <c r="J280" s="18"/>
      <c r="K280" s="18"/>
      <c r="L280" s="19">
        <f t="shared" ref="L280:L286" si="12">SUM(F280:K280)</f>
        <v>446080.37</v>
      </c>
      <c r="M280" s="8"/>
    </row>
    <row r="281" spans="1:13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v>53165.69</v>
      </c>
      <c r="G281" s="18">
        <v>22377.11</v>
      </c>
      <c r="H281" s="18">
        <v>132588.66</v>
      </c>
      <c r="I281" s="18">
        <v>14958.23</v>
      </c>
      <c r="J281" s="18"/>
      <c r="K281" s="18"/>
      <c r="L281" s="19">
        <f t="shared" si="12"/>
        <v>223089.69000000003</v>
      </c>
      <c r="M281" s="8"/>
    </row>
    <row r="282" spans="1:13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>
        <f>94263.95-0.02</f>
        <v>94263.93</v>
      </c>
      <c r="G282" s="18">
        <v>26554.55</v>
      </c>
      <c r="H282" s="18">
        <v>113868.41</v>
      </c>
      <c r="I282" s="18">
        <v>3376.68</v>
      </c>
      <c r="J282" s="18">
        <v>1532.05</v>
      </c>
      <c r="K282" s="18">
        <v>50</v>
      </c>
      <c r="L282" s="19">
        <f t="shared" si="12"/>
        <v>239645.62</v>
      </c>
      <c r="M282" s="8"/>
    </row>
    <row r="283" spans="1:13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>
        <f>14412.46-0.03</f>
        <v>14412.429999999998</v>
      </c>
      <c r="G283" s="18">
        <v>2956.33</v>
      </c>
      <c r="H283" s="18"/>
      <c r="I283" s="18"/>
      <c r="J283" s="18"/>
      <c r="K283" s="18"/>
      <c r="L283" s="19">
        <f t="shared" si="12"/>
        <v>17368.759999999998</v>
      </c>
      <c r="M283" s="8"/>
    </row>
    <row r="284" spans="1:13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f>36060.43+0.01</f>
        <v>36060.44</v>
      </c>
      <c r="L284" s="19">
        <f t="shared" si="12"/>
        <v>36060.44</v>
      </c>
      <c r="M284" s="8"/>
    </row>
    <row r="285" spans="1:13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>
        <v>282.17</v>
      </c>
      <c r="J285" s="18">
        <f>1544.75-0.01</f>
        <v>1544.74</v>
      </c>
      <c r="K285" s="18"/>
      <c r="L285" s="19">
        <f t="shared" si="12"/>
        <v>1826.91</v>
      </c>
      <c r="M285" s="8"/>
    </row>
    <row r="286" spans="1:13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>
        <v>14.16</v>
      </c>
      <c r="J287" s="18">
        <v>36.26</v>
      </c>
      <c r="K287" s="18"/>
      <c r="L287" s="19">
        <f>SUM(F287:K287)</f>
        <v>50.42</v>
      </c>
      <c r="M287" s="8"/>
    </row>
    <row r="288" spans="1:13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1734462.7099999997</v>
      </c>
      <c r="G289" s="42">
        <f t="shared" si="13"/>
        <v>571540.27</v>
      </c>
      <c r="H289" s="42">
        <f t="shared" si="13"/>
        <v>268447.25</v>
      </c>
      <c r="I289" s="42">
        <f t="shared" si="13"/>
        <v>45292.49</v>
      </c>
      <c r="J289" s="42">
        <f t="shared" si="13"/>
        <v>71768.31</v>
      </c>
      <c r="K289" s="42">
        <f t="shared" si="13"/>
        <v>36110.44</v>
      </c>
      <c r="L289" s="41">
        <f t="shared" si="13"/>
        <v>2727621.4699999997</v>
      </c>
      <c r="M289" s="8"/>
    </row>
    <row r="290" spans="1:13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>
        <v>100436.04</v>
      </c>
      <c r="G294" s="18">
        <v>39594.74</v>
      </c>
      <c r="H294" s="18">
        <v>59.64</v>
      </c>
      <c r="I294" s="18">
        <v>639.33000000000004</v>
      </c>
      <c r="J294" s="18">
        <v>583.38</v>
      </c>
      <c r="K294" s="18"/>
      <c r="L294" s="19">
        <f>SUM(F294:K294)</f>
        <v>141313.13</v>
      </c>
      <c r="M294" s="8"/>
    </row>
    <row r="295" spans="1:13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>
        <v>92046.15</v>
      </c>
      <c r="G295" s="18">
        <v>28519.38</v>
      </c>
      <c r="H295" s="18">
        <v>6140.98</v>
      </c>
      <c r="I295" s="18">
        <v>2423.36</v>
      </c>
      <c r="J295" s="18">
        <v>14471.66</v>
      </c>
      <c r="K295" s="18"/>
      <c r="L295" s="19">
        <f>SUM(F295:K295)</f>
        <v>143601.53</v>
      </c>
      <c r="M295" s="8"/>
    </row>
    <row r="296" spans="1:13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>
        <v>5719.95</v>
      </c>
      <c r="G296" s="18">
        <v>1082.94</v>
      </c>
      <c r="H296" s="18"/>
      <c r="I296" s="18">
        <v>1536.9</v>
      </c>
      <c r="J296" s="18"/>
      <c r="K296" s="18"/>
      <c r="L296" s="19">
        <f>SUM(F296:K296)</f>
        <v>8339.7899999999991</v>
      </c>
      <c r="M296" s="8"/>
    </row>
    <row r="297" spans="1:13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>
        <v>149724.67000000001</v>
      </c>
      <c r="G299" s="18">
        <v>46028.3</v>
      </c>
      <c r="H299" s="18">
        <v>4061.15</v>
      </c>
      <c r="I299" s="18"/>
      <c r="J299" s="18"/>
      <c r="K299" s="18"/>
      <c r="L299" s="19">
        <f t="shared" ref="L299:L305" si="14">SUM(F299:K299)</f>
        <v>199814.12000000002</v>
      </c>
      <c r="M299" s="8"/>
    </row>
    <row r="300" spans="1:13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>
        <v>16618.150000000001</v>
      </c>
      <c r="G300" s="18">
        <v>4022.19</v>
      </c>
      <c r="H300" s="18">
        <v>64933.81</v>
      </c>
      <c r="I300" s="18">
        <v>4985.63</v>
      </c>
      <c r="J300" s="18"/>
      <c r="K300" s="18"/>
      <c r="L300" s="19">
        <f t="shared" si="14"/>
        <v>90559.78</v>
      </c>
      <c r="M300" s="8"/>
    </row>
    <row r="301" spans="1:13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>
        <v>3362.47</v>
      </c>
      <c r="G301" s="18">
        <v>1881.89</v>
      </c>
      <c r="H301" s="18">
        <v>5304.84</v>
      </c>
      <c r="I301" s="18">
        <v>1656.41</v>
      </c>
      <c r="J301" s="18">
        <v>751.54</v>
      </c>
      <c r="K301" s="18"/>
      <c r="L301" s="19">
        <f t="shared" si="14"/>
        <v>12957.150000000001</v>
      </c>
      <c r="M301" s="8"/>
    </row>
    <row r="302" spans="1:13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>
        <v>7069.96</v>
      </c>
      <c r="G302" s="18">
        <v>1450.22</v>
      </c>
      <c r="H302" s="18"/>
      <c r="I302" s="18"/>
      <c r="J302" s="18"/>
      <c r="K302" s="18"/>
      <c r="L302" s="19">
        <f t="shared" si="14"/>
        <v>8520.18</v>
      </c>
      <c r="M302" s="8"/>
    </row>
    <row r="303" spans="1:13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>
        <v>12502.97</v>
      </c>
      <c r="L303" s="19">
        <f t="shared" si="14"/>
        <v>12502.97</v>
      </c>
      <c r="M303" s="8"/>
    </row>
    <row r="304" spans="1:13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>
        <v>138.41999999999999</v>
      </c>
      <c r="J304" s="18">
        <v>757.77</v>
      </c>
      <c r="K304" s="18"/>
      <c r="L304" s="19">
        <f t="shared" si="14"/>
        <v>896.18999999999994</v>
      </c>
      <c r="M304" s="8"/>
    </row>
    <row r="305" spans="1:13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>
        <v>6.95</v>
      </c>
      <c r="J306" s="18">
        <v>17.79</v>
      </c>
      <c r="K306" s="18"/>
      <c r="L306" s="19">
        <f>SUM(F306:K306)</f>
        <v>24.74</v>
      </c>
      <c r="M306" s="8"/>
    </row>
    <row r="307" spans="1:13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374977.39000000007</v>
      </c>
      <c r="G308" s="42">
        <f t="shared" si="15"/>
        <v>122579.66</v>
      </c>
      <c r="H308" s="42">
        <f t="shared" si="15"/>
        <v>80500.42</v>
      </c>
      <c r="I308" s="42">
        <f t="shared" si="15"/>
        <v>11387.000000000002</v>
      </c>
      <c r="J308" s="42">
        <f t="shared" si="15"/>
        <v>16582.14</v>
      </c>
      <c r="K308" s="42">
        <f t="shared" si="15"/>
        <v>12502.97</v>
      </c>
      <c r="L308" s="41">
        <f t="shared" si="15"/>
        <v>618529.58000000007</v>
      </c>
    </row>
    <row r="309" spans="1:13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>
        <v>157936.57</v>
      </c>
      <c r="G313" s="18">
        <v>62263.08</v>
      </c>
      <c r="H313" s="18">
        <v>93.78</v>
      </c>
      <c r="I313" s="18">
        <v>1005.34</v>
      </c>
      <c r="J313" s="18">
        <v>917.37</v>
      </c>
      <c r="K313" s="18"/>
      <c r="L313" s="19">
        <f>SUM(F313:K313)</f>
        <v>222216.14</v>
      </c>
      <c r="M313" s="8"/>
    </row>
    <row r="314" spans="1:13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>
        <v>144743.39000000001</v>
      </c>
      <c r="G314" s="18">
        <v>44846.97</v>
      </c>
      <c r="H314" s="18">
        <v>9656.73</v>
      </c>
      <c r="I314" s="18">
        <v>3810.76</v>
      </c>
      <c r="J314" s="18">
        <v>22756.81</v>
      </c>
      <c r="K314" s="18"/>
      <c r="L314" s="19">
        <f>SUM(F314:K314)</f>
        <v>225814.66000000003</v>
      </c>
      <c r="M314" s="8"/>
    </row>
    <row r="315" spans="1:13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>
        <v>8994.67</v>
      </c>
      <c r="G315" s="18">
        <v>1702.93</v>
      </c>
      <c r="H315" s="18">
        <v>45873.71</v>
      </c>
      <c r="I315" s="18">
        <v>10507.94</v>
      </c>
      <c r="J315" s="18">
        <f>85865.39-0.02</f>
        <v>85865.37</v>
      </c>
      <c r="K315" s="18"/>
      <c r="L315" s="19">
        <f>SUM(F315:K315)</f>
        <v>152944.62</v>
      </c>
      <c r="M315" s="8"/>
    </row>
    <row r="316" spans="1:13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>
        <v>235443.36</v>
      </c>
      <c r="G318" s="18">
        <v>72379.929999999993</v>
      </c>
      <c r="H318" s="18">
        <v>6386.2</v>
      </c>
      <c r="I318" s="18"/>
      <c r="J318" s="18"/>
      <c r="K318" s="18"/>
      <c r="L318" s="19">
        <f t="shared" ref="L318:L324" si="16">SUM(F318:K318)</f>
        <v>314209.49</v>
      </c>
      <c r="M318" s="8"/>
    </row>
    <row r="319" spans="1:13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>
        <v>26132.19</v>
      </c>
      <c r="G319" s="18">
        <v>6324.94</v>
      </c>
      <c r="H319" s="18">
        <v>102108.99</v>
      </c>
      <c r="I319" s="18">
        <v>7839.95</v>
      </c>
      <c r="J319" s="18"/>
      <c r="K319" s="18">
        <v>4907</v>
      </c>
      <c r="L319" s="19">
        <f t="shared" si="16"/>
        <v>147313.07</v>
      </c>
      <c r="M319" s="8"/>
    </row>
    <row r="320" spans="1:13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>
        <v>5287.52</v>
      </c>
      <c r="G320" s="18">
        <v>2959.27</v>
      </c>
      <c r="H320" s="18">
        <v>8341.92</v>
      </c>
      <c r="I320" s="18">
        <v>2604.73</v>
      </c>
      <c r="J320" s="18">
        <v>1181.8</v>
      </c>
      <c r="K320" s="18"/>
      <c r="L320" s="19">
        <f t="shared" si="16"/>
        <v>20375.239999999998</v>
      </c>
      <c r="M320" s="8"/>
    </row>
    <row r="321" spans="1:13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>
        <v>11117.58</v>
      </c>
      <c r="G321" s="18">
        <v>2280.48</v>
      </c>
      <c r="H321" s="18"/>
      <c r="I321" s="18"/>
      <c r="J321" s="18"/>
      <c r="K321" s="18"/>
      <c r="L321" s="19">
        <f t="shared" si="16"/>
        <v>13398.06</v>
      </c>
      <c r="M321" s="8"/>
    </row>
    <row r="322" spans="1:13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>
        <v>24851.439999999999</v>
      </c>
      <c r="L322" s="19">
        <f t="shared" si="16"/>
        <v>24851.439999999999</v>
      </c>
      <c r="M322" s="8"/>
    </row>
    <row r="323" spans="1:13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>
        <v>217.66</v>
      </c>
      <c r="J323" s="18">
        <v>1191.5999999999999</v>
      </c>
      <c r="K323" s="18"/>
      <c r="L323" s="19">
        <f t="shared" si="16"/>
        <v>1409.26</v>
      </c>
      <c r="M323" s="8"/>
    </row>
    <row r="324" spans="1:13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>
        <v>10.92</v>
      </c>
      <c r="J325" s="18">
        <v>27.97</v>
      </c>
      <c r="K325" s="18"/>
      <c r="L325" s="19">
        <f>SUM(F325:K325)</f>
        <v>38.89</v>
      </c>
      <c r="M325" s="8"/>
    </row>
    <row r="326" spans="1:13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589655.27999999991</v>
      </c>
      <c r="G327" s="42">
        <f t="shared" si="17"/>
        <v>192757.59999999998</v>
      </c>
      <c r="H327" s="42">
        <f t="shared" si="17"/>
        <v>172461.33000000002</v>
      </c>
      <c r="I327" s="42">
        <f t="shared" si="17"/>
        <v>25997.3</v>
      </c>
      <c r="J327" s="42">
        <f t="shared" si="17"/>
        <v>111940.92</v>
      </c>
      <c r="K327" s="42">
        <f t="shared" si="17"/>
        <v>29758.44</v>
      </c>
      <c r="L327" s="41">
        <f t="shared" si="17"/>
        <v>1122570.8699999999</v>
      </c>
      <c r="M327" s="8"/>
    </row>
    <row r="328" spans="1:13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>
        <v>15149.66</v>
      </c>
      <c r="G332" s="18">
        <v>1189.49</v>
      </c>
      <c r="H332" s="18"/>
      <c r="I332" s="18">
        <v>985.95</v>
      </c>
      <c r="J332" s="18"/>
      <c r="K332" s="18"/>
      <c r="L332" s="19">
        <f t="shared" si="18"/>
        <v>17325.099999999999</v>
      </c>
      <c r="M332" s="8"/>
    </row>
    <row r="333" spans="1:13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15149.66</v>
      </c>
      <c r="G336" s="41">
        <f t="shared" si="19"/>
        <v>1189.49</v>
      </c>
      <c r="H336" s="41">
        <f t="shared" si="19"/>
        <v>0</v>
      </c>
      <c r="I336" s="41">
        <f t="shared" si="19"/>
        <v>985.95</v>
      </c>
      <c r="J336" s="41">
        <f t="shared" si="19"/>
        <v>0</v>
      </c>
      <c r="K336" s="41">
        <f t="shared" si="19"/>
        <v>0</v>
      </c>
      <c r="L336" s="41">
        <f t="shared" si="18"/>
        <v>17325.099999999999</v>
      </c>
      <c r="M336" s="8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2714245.0399999996</v>
      </c>
      <c r="G337" s="41">
        <f t="shared" si="20"/>
        <v>888067.02</v>
      </c>
      <c r="H337" s="41">
        <f t="shared" si="20"/>
        <v>521409</v>
      </c>
      <c r="I337" s="41">
        <f t="shared" si="20"/>
        <v>83662.739999999991</v>
      </c>
      <c r="J337" s="41">
        <f t="shared" si="20"/>
        <v>200291.37</v>
      </c>
      <c r="K337" s="41">
        <f t="shared" si="20"/>
        <v>78371.850000000006</v>
      </c>
      <c r="L337" s="41">
        <f t="shared" si="20"/>
        <v>4486047.0199999996</v>
      </c>
      <c r="M337" s="8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2714245.0399999996</v>
      </c>
      <c r="G351" s="41">
        <f>G337</f>
        <v>888067.02</v>
      </c>
      <c r="H351" s="41">
        <f>H337</f>
        <v>521409</v>
      </c>
      <c r="I351" s="41">
        <f>I337</f>
        <v>83662.739999999991</v>
      </c>
      <c r="J351" s="41">
        <f>J337</f>
        <v>200291.37</v>
      </c>
      <c r="K351" s="47">
        <f>K337+K350</f>
        <v>78371.850000000006</v>
      </c>
      <c r="L351" s="41">
        <f>L337+L350</f>
        <v>4486047.0199999996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f>230298.53+3742.43</f>
        <v>234040.95999999999</v>
      </c>
      <c r="G357" s="18">
        <f>73733.65+260.02+109.67</f>
        <v>74103.34</v>
      </c>
      <c r="H357" s="18">
        <v>150149.37</v>
      </c>
      <c r="I357" s="18">
        <f>350906.5+4824.77+61672.75</f>
        <v>417404.02</v>
      </c>
      <c r="J357" s="18">
        <f>85355.7+1660.08</f>
        <v>87015.78</v>
      </c>
      <c r="K357" s="18"/>
      <c r="L357" s="13">
        <f>SUM(F357:K357)</f>
        <v>962713.47</v>
      </c>
    </row>
    <row r="358" spans="1:13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>
        <v>96890.09</v>
      </c>
      <c r="G358" s="18">
        <v>26202.639999999999</v>
      </c>
      <c r="H358" s="18">
        <v>73446.23</v>
      </c>
      <c r="I358" s="18">
        <v>171207.72</v>
      </c>
      <c r="J358" s="18">
        <v>24823</v>
      </c>
      <c r="K358" s="18"/>
      <c r="L358" s="19">
        <f>SUM(F358:K358)</f>
        <v>392569.68</v>
      </c>
      <c r="M358" s="8"/>
    </row>
    <row r="359" spans="1:13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>
        <v>194203.88</v>
      </c>
      <c r="G359" s="18">
        <v>44437.09</v>
      </c>
      <c r="H359" s="18">
        <v>111855.82</v>
      </c>
      <c r="I359" s="18">
        <v>269225.65999999997</v>
      </c>
      <c r="J359" s="18">
        <v>80558.600000000006</v>
      </c>
      <c r="K359" s="18"/>
      <c r="L359" s="19">
        <f>SUM(F359:K359)</f>
        <v>700281.04999999993</v>
      </c>
      <c r="M359" s="8"/>
    </row>
    <row r="360" spans="1:13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525134.92999999993</v>
      </c>
      <c r="G361" s="47">
        <f t="shared" si="22"/>
        <v>144743.07</v>
      </c>
      <c r="H361" s="47">
        <f t="shared" si="22"/>
        <v>335451.42</v>
      </c>
      <c r="I361" s="47">
        <f t="shared" si="22"/>
        <v>857837.39999999991</v>
      </c>
      <c r="J361" s="47">
        <f t="shared" si="22"/>
        <v>192397.38</v>
      </c>
      <c r="K361" s="47">
        <f t="shared" si="22"/>
        <v>0</v>
      </c>
      <c r="L361" s="47">
        <f t="shared" si="22"/>
        <v>2055564.1999999997</v>
      </c>
      <c r="M361" s="8"/>
    </row>
    <row r="362" spans="1:13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f>324366.95+61672.75+0.01</f>
        <v>386039.71</v>
      </c>
      <c r="G366" s="18">
        <v>159116.63</v>
      </c>
      <c r="H366" s="18">
        <v>250212.31</v>
      </c>
      <c r="I366" s="56">
        <f>SUM(F366:H366)</f>
        <v>795368.65000000014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f>26539.54+4824.77</f>
        <v>31364.31</v>
      </c>
      <c r="G367" s="63">
        <v>12091.09</v>
      </c>
      <c r="H367" s="63">
        <v>19013.349999999999</v>
      </c>
      <c r="I367" s="56">
        <f>SUM(F367:H367)</f>
        <v>62468.75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417404.02</v>
      </c>
      <c r="G368" s="47">
        <f>SUM(G366:G367)</f>
        <v>171207.72</v>
      </c>
      <c r="H368" s="47">
        <f>SUM(H366:H367)</f>
        <v>269225.65999999997</v>
      </c>
      <c r="I368" s="47">
        <f>SUM(I366:I367)</f>
        <v>857837.40000000014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>
        <v>6998.49</v>
      </c>
      <c r="I378" s="18"/>
      <c r="J378" s="18"/>
      <c r="K378" s="18"/>
      <c r="L378" s="13">
        <f t="shared" si="23"/>
        <v>6998.49</v>
      </c>
      <c r="M378" s="8"/>
    </row>
    <row r="379" spans="1:13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6998.49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6998.49</v>
      </c>
      <c r="M381" s="8"/>
    </row>
    <row r="382" spans="1:13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</row>
    <row r="396" spans="1:13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</row>
    <row r="397" spans="1:13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0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0</v>
      </c>
      <c r="M400" s="8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0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0</v>
      </c>
      <c r="M407" s="8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 x14ac:dyDescent="0.15">
      <c r="A435" s="34" t="s">
        <v>0</v>
      </c>
      <c r="K435" s="56"/>
      <c r="L435" s="13"/>
      <c r="M435" s="8"/>
    </row>
    <row r="436" spans="1:13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0</v>
      </c>
      <c r="H445" s="13">
        <f>SUM(H438:H444)</f>
        <v>0</v>
      </c>
      <c r="I445" s="13">
        <f>SUM(I438:I444)</f>
        <v>0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 x14ac:dyDescent="0.15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 x14ac:dyDescent="0.15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 x14ac:dyDescent="0.15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 x14ac:dyDescent="0.25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0</v>
      </c>
      <c r="H459" s="83">
        <f>SUM(H453:H458)</f>
        <v>0</v>
      </c>
      <c r="I459" s="83">
        <f>SUM(I453:I458)</f>
        <v>0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0</v>
      </c>
      <c r="H460" s="42">
        <f>H451+H459</f>
        <v>0</v>
      </c>
      <c r="I460" s="42">
        <f>I451+I459</f>
        <v>0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 x14ac:dyDescent="0.2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/>
      <c r="G464" s="18">
        <v>314676</v>
      </c>
      <c r="H464" s="18">
        <v>47042.3</v>
      </c>
      <c r="I464" s="18">
        <v>6998.49</v>
      </c>
      <c r="J464" s="18"/>
      <c r="K464" s="24" t="s">
        <v>289</v>
      </c>
      <c r="L464" s="24" t="s">
        <v>289</v>
      </c>
    </row>
    <row r="465" spans="1:12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54780504.369999997</v>
      </c>
      <c r="G467" s="18">
        <f>1777173.18+72269.72+399.31</f>
        <v>1849842.21</v>
      </c>
      <c r="H467" s="18">
        <v>4457579.87</v>
      </c>
      <c r="I467" s="18">
        <v>111113.72</v>
      </c>
      <c r="J467" s="18"/>
      <c r="K467" s="24" t="s">
        <v>289</v>
      </c>
      <c r="L467" s="24" t="s">
        <v>289</v>
      </c>
    </row>
    <row r="468" spans="1:12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>
        <v>13373.53</v>
      </c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54780504.369999997</v>
      </c>
      <c r="G469" s="53">
        <f>SUM(G467:G468)</f>
        <v>1863215.74</v>
      </c>
      <c r="H469" s="53">
        <f>SUM(H467:H468)</f>
        <v>4457579.87</v>
      </c>
      <c r="I469" s="53">
        <f>SUM(I467:I468)</f>
        <v>111113.72</v>
      </c>
      <c r="J469" s="53">
        <f>SUM(J467:J468)</f>
        <v>0</v>
      </c>
      <c r="K469" s="24" t="s">
        <v>289</v>
      </c>
      <c r="L469" s="24" t="s">
        <v>289</v>
      </c>
    </row>
    <row r="470" spans="1:12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53141211.240000002</v>
      </c>
      <c r="G471" s="18">
        <f>72269.72+1983294.48</f>
        <v>2055564.2</v>
      </c>
      <c r="H471" s="18">
        <v>4486047.0199999996</v>
      </c>
      <c r="I471" s="18">
        <v>6998.49</v>
      </c>
      <c r="J471" s="18"/>
      <c r="K471" s="24" t="s">
        <v>289</v>
      </c>
      <c r="L471" s="24" t="s">
        <v>289</v>
      </c>
    </row>
    <row r="472" spans="1:12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>
        <f>F467-F471</f>
        <v>1639293.1299999952</v>
      </c>
      <c r="G472" s="18">
        <v>13917.93</v>
      </c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54780504.369999997</v>
      </c>
      <c r="G473" s="53">
        <f>SUM(G471:G472)</f>
        <v>2069482.13</v>
      </c>
      <c r="H473" s="53">
        <f>SUM(H471:H472)</f>
        <v>4486047.0199999996</v>
      </c>
      <c r="I473" s="53">
        <f>SUM(I471:I472)</f>
        <v>6998.49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 x14ac:dyDescent="0.2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0</v>
      </c>
      <c r="G475" s="53">
        <f>(G464+G469)- G473</f>
        <v>108409.61000000034</v>
      </c>
      <c r="H475" s="53">
        <f>(H464+H469)- H473</f>
        <v>18575.150000000373</v>
      </c>
      <c r="I475" s="53">
        <f>(I464+I469)- I473</f>
        <v>111113.72</v>
      </c>
      <c r="J475" s="53">
        <f>(J464+J469)- J473</f>
        <v>0</v>
      </c>
      <c r="K475" s="24" t="s">
        <v>289</v>
      </c>
      <c r="L475" s="24" t="s">
        <v>289</v>
      </c>
    </row>
    <row r="476" spans="1:12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 x14ac:dyDescent="0.2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 t="s">
        <v>909</v>
      </c>
      <c r="G489" s="154">
        <v>20</v>
      </c>
      <c r="H489" s="154">
        <v>20</v>
      </c>
      <c r="I489" s="154">
        <v>20</v>
      </c>
      <c r="J489" s="154" t="s">
        <v>909</v>
      </c>
      <c r="K489" s="24" t="s">
        <v>289</v>
      </c>
      <c r="L489" s="24" t="s">
        <v>289</v>
      </c>
    </row>
    <row r="490" spans="1:12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 t="s">
        <v>909</v>
      </c>
      <c r="G490" s="155" t="s">
        <v>910</v>
      </c>
      <c r="H490" s="155" t="s">
        <v>911</v>
      </c>
      <c r="I490" s="155" t="s">
        <v>912</v>
      </c>
      <c r="J490" s="154" t="s">
        <v>909</v>
      </c>
      <c r="K490" s="24" t="s">
        <v>289</v>
      </c>
      <c r="L490" s="24" t="s">
        <v>289</v>
      </c>
    </row>
    <row r="491" spans="1:12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 t="s">
        <v>913</v>
      </c>
      <c r="G491" s="155" t="s">
        <v>914</v>
      </c>
      <c r="H491" s="155" t="s">
        <v>915</v>
      </c>
      <c r="I491" s="155" t="s">
        <v>916</v>
      </c>
      <c r="J491" s="155" t="s">
        <v>917</v>
      </c>
      <c r="K491" s="24" t="s">
        <v>289</v>
      </c>
      <c r="L491" s="24" t="s">
        <v>289</v>
      </c>
    </row>
    <row r="492" spans="1:12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 t="s">
        <v>909</v>
      </c>
      <c r="G492" s="18">
        <v>4704717</v>
      </c>
      <c r="H492" s="18">
        <v>3237000</v>
      </c>
      <c r="I492" s="18">
        <f>1378525+160746.89</f>
        <v>1539271.8900000001</v>
      </c>
      <c r="J492" s="18">
        <f>1992991+888303.17</f>
        <v>2881294.17</v>
      </c>
      <c r="K492" s="24" t="s">
        <v>289</v>
      </c>
      <c r="L492" s="24" t="s">
        <v>289</v>
      </c>
    </row>
    <row r="493" spans="1:12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 t="s">
        <v>909</v>
      </c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>
        <v>6267218</v>
      </c>
      <c r="G494" s="18">
        <v>1925377</v>
      </c>
      <c r="H494" s="18">
        <v>1917000</v>
      </c>
      <c r="I494" s="18">
        <v>960000</v>
      </c>
      <c r="J494" s="18">
        <v>2300144</v>
      </c>
      <c r="K494" s="53">
        <f>SUM(F494:J494)</f>
        <v>13369739</v>
      </c>
      <c r="L494" s="24" t="s">
        <v>289</v>
      </c>
    </row>
    <row r="495" spans="1:12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>
        <v>160747</v>
      </c>
      <c r="J495" s="18">
        <v>888303</v>
      </c>
      <c r="K495" s="53">
        <f t="shared" ref="K495:K502" si="35">SUM(F495:J495)</f>
        <v>1049050</v>
      </c>
      <c r="L495" s="24" t="s">
        <v>289</v>
      </c>
    </row>
    <row r="496" spans="1:12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 x14ac:dyDescent="0.2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>
        <v>5086758</v>
      </c>
      <c r="G497" s="205">
        <v>1726212</v>
      </c>
      <c r="H497" s="205">
        <v>1752000</v>
      </c>
      <c r="I497" s="205">
        <v>1050747</v>
      </c>
      <c r="J497" s="205">
        <v>3054155</v>
      </c>
      <c r="K497" s="206">
        <f t="shared" si="35"/>
        <v>12669872</v>
      </c>
      <c r="L497" s="207" t="s">
        <v>289</v>
      </c>
    </row>
    <row r="498" spans="1:12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>
        <v>580801</v>
      </c>
      <c r="G498" s="18">
        <v>147354</v>
      </c>
      <c r="H498" s="18">
        <v>438252</v>
      </c>
      <c r="I498" s="18">
        <v>283115</v>
      </c>
      <c r="J498" s="18">
        <v>1029049</v>
      </c>
      <c r="K498" s="53">
        <f t="shared" si="35"/>
        <v>2478571</v>
      </c>
      <c r="L498" s="24" t="s">
        <v>289</v>
      </c>
    </row>
    <row r="499" spans="1:12" s="52" customFormat="1" ht="12" customHeight="1" thickTop="1" x14ac:dyDescent="0.2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5667559</v>
      </c>
      <c r="G499" s="42">
        <f>SUM(G497:G498)</f>
        <v>1873566</v>
      </c>
      <c r="H499" s="42">
        <f>SUM(H497:H498)</f>
        <v>2190252</v>
      </c>
      <c r="I499" s="42">
        <f>SUM(I497:I498)</f>
        <v>1333862</v>
      </c>
      <c r="J499" s="42">
        <f>SUM(J497:J498)</f>
        <v>4083204</v>
      </c>
      <c r="K499" s="42">
        <f t="shared" si="35"/>
        <v>15148443</v>
      </c>
      <c r="L499" s="45" t="s">
        <v>289</v>
      </c>
    </row>
    <row r="500" spans="1:12" s="52" customFormat="1" ht="12" customHeight="1" x14ac:dyDescent="0.2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>
        <v>1180460</v>
      </c>
      <c r="G500" s="205">
        <v>198003</v>
      </c>
      <c r="H500" s="205">
        <v>165000</v>
      </c>
      <c r="I500" s="205">
        <v>85747</v>
      </c>
      <c r="J500" s="205">
        <v>177596</v>
      </c>
      <c r="K500" s="206">
        <f t="shared" si="35"/>
        <v>1806806</v>
      </c>
      <c r="L500" s="207" t="s">
        <v>289</v>
      </c>
    </row>
    <row r="501" spans="1:12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>
        <v>212480</v>
      </c>
      <c r="G501" s="18">
        <v>31634</v>
      </c>
      <c r="H501" s="18">
        <v>75897</v>
      </c>
      <c r="I501" s="18">
        <v>42002</v>
      </c>
      <c r="J501" s="18">
        <v>108142</v>
      </c>
      <c r="K501" s="53">
        <f t="shared" si="35"/>
        <v>470155</v>
      </c>
      <c r="L501" s="24" t="s">
        <v>289</v>
      </c>
    </row>
    <row r="502" spans="1:12" s="52" customFormat="1" ht="12" customHeight="1" thickTop="1" x14ac:dyDescent="0.2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1392940</v>
      </c>
      <c r="G502" s="42">
        <f>SUM(G500:G501)</f>
        <v>229637</v>
      </c>
      <c r="H502" s="42">
        <f>SUM(H500:H501)</f>
        <v>240897</v>
      </c>
      <c r="I502" s="42">
        <f>SUM(I500:I501)</f>
        <v>127749</v>
      </c>
      <c r="J502" s="42">
        <f>SUM(J500:J501)</f>
        <v>285738</v>
      </c>
      <c r="K502" s="42">
        <f t="shared" si="35"/>
        <v>2276961</v>
      </c>
      <c r="L502" s="45" t="s">
        <v>289</v>
      </c>
    </row>
    <row r="503" spans="1:12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 x14ac:dyDescent="0.2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4649031.47</v>
      </c>
      <c r="G520" s="18">
        <v>1513929.38</v>
      </c>
      <c r="H520" s="18">
        <v>215462.69</v>
      </c>
      <c r="I520" s="18">
        <v>27548.959999999999</v>
      </c>
      <c r="J520" s="18">
        <v>4351.25</v>
      </c>
      <c r="K520" s="18">
        <v>530</v>
      </c>
      <c r="L520" s="88">
        <f>SUM(F520:K520)</f>
        <v>6410853.75</v>
      </c>
    </row>
    <row r="521" spans="1:13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>
        <v>1360903.39</v>
      </c>
      <c r="G521" s="18">
        <v>576788.89</v>
      </c>
      <c r="H521" s="18">
        <v>316262.11</v>
      </c>
      <c r="I521" s="18">
        <v>9025.58</v>
      </c>
      <c r="J521" s="18"/>
      <c r="K521" s="18">
        <v>715</v>
      </c>
      <c r="L521" s="88">
        <f>SUM(F521:K521)</f>
        <v>2263694.9699999997</v>
      </c>
    </row>
    <row r="522" spans="1:13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>
        <v>1244415.97</v>
      </c>
      <c r="G522" s="18">
        <v>528728.63</v>
      </c>
      <c r="H522" s="18">
        <v>496643.63</v>
      </c>
      <c r="I522" s="18">
        <v>7039.59</v>
      </c>
      <c r="J522" s="18">
        <v>743.26</v>
      </c>
      <c r="K522" s="18">
        <v>837</v>
      </c>
      <c r="L522" s="88">
        <f>SUM(F522:K522)</f>
        <v>2278408.0799999996</v>
      </c>
    </row>
    <row r="523" spans="1:13" s="52" customFormat="1" ht="12" customHeight="1" thickTop="1" x14ac:dyDescent="0.2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7254350.8299999991</v>
      </c>
      <c r="G523" s="108">
        <f t="shared" ref="G523:L523" si="36">SUM(G520:G522)</f>
        <v>2619446.9</v>
      </c>
      <c r="H523" s="108">
        <f t="shared" si="36"/>
        <v>1028368.43</v>
      </c>
      <c r="I523" s="108">
        <f t="shared" si="36"/>
        <v>43614.130000000005</v>
      </c>
      <c r="J523" s="108">
        <f t="shared" si="36"/>
        <v>5094.51</v>
      </c>
      <c r="K523" s="108">
        <f t="shared" si="36"/>
        <v>2082</v>
      </c>
      <c r="L523" s="89">
        <f t="shared" si="36"/>
        <v>10952956.799999999</v>
      </c>
    </row>
    <row r="524" spans="1:13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331321.40999999997</v>
      </c>
      <c r="G525" s="18">
        <v>98818.64</v>
      </c>
      <c r="H525" s="18">
        <v>163780.22</v>
      </c>
      <c r="I525" s="18"/>
      <c r="J525" s="18"/>
      <c r="K525" s="18"/>
      <c r="L525" s="88">
        <f>SUM(F525:K525)</f>
        <v>593920.27</v>
      </c>
      <c r="M525" s="8"/>
    </row>
    <row r="526" spans="1:13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>
        <v>147211.28</v>
      </c>
      <c r="G526" s="18">
        <v>44783.38</v>
      </c>
      <c r="H526" s="18">
        <v>340612.48</v>
      </c>
      <c r="I526" s="18"/>
      <c r="J526" s="18"/>
      <c r="K526" s="18"/>
      <c r="L526" s="88">
        <f>SUM(F526:K526)</f>
        <v>532607.14</v>
      </c>
      <c r="M526" s="8"/>
    </row>
    <row r="527" spans="1:13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>
        <v>231491.05</v>
      </c>
      <c r="G527" s="18">
        <v>70422.289999999994</v>
      </c>
      <c r="H527" s="18">
        <v>557858.48</v>
      </c>
      <c r="I527" s="18"/>
      <c r="J527" s="18"/>
      <c r="K527" s="18"/>
      <c r="L527" s="88">
        <f>SUM(F527:K527)</f>
        <v>859771.82</v>
      </c>
      <c r="M527" s="8"/>
    </row>
    <row r="528" spans="1:13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710023.74</v>
      </c>
      <c r="G528" s="89">
        <f t="shared" ref="G528:L528" si="37">SUM(G525:G527)</f>
        <v>214024.31</v>
      </c>
      <c r="H528" s="89">
        <f t="shared" si="37"/>
        <v>1062251.18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1986299.23</v>
      </c>
      <c r="M528" s="8"/>
    </row>
    <row r="529" spans="1:13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145173.07</v>
      </c>
      <c r="G530" s="18">
        <v>52840.44</v>
      </c>
      <c r="H530" s="18">
        <v>5924.01</v>
      </c>
      <c r="I530" s="18">
        <v>266.13</v>
      </c>
      <c r="J530" s="18"/>
      <c r="K530" s="18">
        <v>26992.49</v>
      </c>
      <c r="L530" s="88">
        <f>SUM(F530:K530)</f>
        <v>231196.14</v>
      </c>
      <c r="M530" s="8"/>
    </row>
    <row r="531" spans="1:13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>
        <v>71213.94</v>
      </c>
      <c r="G531" s="18">
        <v>25920.62</v>
      </c>
      <c r="H531" s="18">
        <v>2906</v>
      </c>
      <c r="I531" s="18">
        <v>130.55000000000001</v>
      </c>
      <c r="J531" s="18"/>
      <c r="K531" s="18">
        <v>8054.74</v>
      </c>
      <c r="L531" s="88">
        <f>SUM(F531:K531)</f>
        <v>108225.85</v>
      </c>
      <c r="M531" s="8"/>
    </row>
    <row r="532" spans="1:13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>
        <v>111984.56</v>
      </c>
      <c r="G532" s="18">
        <v>40760.39</v>
      </c>
      <c r="H532" s="18">
        <v>4569.7</v>
      </c>
      <c r="I532" s="18">
        <v>205.29</v>
      </c>
      <c r="J532" s="18"/>
      <c r="K532" s="18">
        <v>12666.15</v>
      </c>
      <c r="L532" s="88">
        <f>SUM(F532:K532)</f>
        <v>170186.09000000003</v>
      </c>
      <c r="M532" s="8"/>
    </row>
    <row r="533" spans="1:13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328371.57</v>
      </c>
      <c r="G533" s="89">
        <f t="shared" ref="G533:L533" si="38">SUM(G530:G532)</f>
        <v>119521.45</v>
      </c>
      <c r="H533" s="89">
        <f t="shared" si="38"/>
        <v>13399.71</v>
      </c>
      <c r="I533" s="89">
        <f t="shared" si="38"/>
        <v>601.97</v>
      </c>
      <c r="J533" s="89">
        <f t="shared" si="38"/>
        <v>0</v>
      </c>
      <c r="K533" s="89">
        <f t="shared" si="38"/>
        <v>47713.380000000005</v>
      </c>
      <c r="L533" s="89">
        <f t="shared" si="38"/>
        <v>509608.08</v>
      </c>
      <c r="M533" s="8"/>
    </row>
    <row r="534" spans="1:13" s="3" customFormat="1" ht="12" customHeight="1" x14ac:dyDescent="0.15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>
        <v>5399.35</v>
      </c>
      <c r="I535" s="18"/>
      <c r="J535" s="18"/>
      <c r="K535" s="18"/>
      <c r="L535" s="88">
        <f>SUM(F535:K535)</f>
        <v>5399.35</v>
      </c>
      <c r="M535" s="8"/>
    </row>
    <row r="536" spans="1:13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>
        <v>2648.63</v>
      </c>
      <c r="I536" s="18"/>
      <c r="J536" s="18"/>
      <c r="K536" s="18"/>
      <c r="L536" s="88">
        <f>SUM(F536:K536)</f>
        <v>2648.63</v>
      </c>
      <c r="M536" s="8"/>
    </row>
    <row r="537" spans="1:13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>
        <v>4164.99</v>
      </c>
      <c r="I537" s="18"/>
      <c r="J537" s="18"/>
      <c r="K537" s="18"/>
      <c r="L537" s="88">
        <f>SUM(F537:K537)</f>
        <v>4164.99</v>
      </c>
      <c r="M537" s="8"/>
    </row>
    <row r="538" spans="1:13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12212.970000000001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12212.970000000001</v>
      </c>
      <c r="M538" s="8"/>
    </row>
    <row r="539" spans="1:13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221807.61</v>
      </c>
      <c r="I540" s="18"/>
      <c r="J540" s="18"/>
      <c r="K540" s="18"/>
      <c r="L540" s="88">
        <f>SUM(F540:K540)</f>
        <v>221807.61</v>
      </c>
      <c r="M540" s="8"/>
    </row>
    <row r="541" spans="1:13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>
        <v>265350.25</v>
      </c>
      <c r="I541" s="18"/>
      <c r="J541" s="18"/>
      <c r="K541" s="18"/>
      <c r="L541" s="88">
        <f>SUM(F541:K541)</f>
        <v>265350.25</v>
      </c>
      <c r="M541" s="8"/>
    </row>
    <row r="542" spans="1:13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251179.04</v>
      </c>
      <c r="I542" s="18"/>
      <c r="J542" s="18"/>
      <c r="K542" s="18"/>
      <c r="L542" s="88">
        <f>SUM(F542:K542)</f>
        <v>251179.04</v>
      </c>
      <c r="M542" s="8"/>
    </row>
    <row r="543" spans="1:13" s="3" customFormat="1" ht="12" customHeight="1" thickTop="1" thickBot="1" x14ac:dyDescent="0.2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738336.9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738336.9</v>
      </c>
      <c r="M543" s="8"/>
    </row>
    <row r="544" spans="1:13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8292746.1399999997</v>
      </c>
      <c r="G544" s="89">
        <f t="shared" ref="G544:L544" si="41">G523+G528+G533+G538+G543</f>
        <v>2952992.66</v>
      </c>
      <c r="H544" s="89">
        <f t="shared" si="41"/>
        <v>2854569.19</v>
      </c>
      <c r="I544" s="89">
        <f t="shared" si="41"/>
        <v>44216.100000000006</v>
      </c>
      <c r="J544" s="89">
        <f t="shared" si="41"/>
        <v>5094.51</v>
      </c>
      <c r="K544" s="89">
        <f t="shared" si="41"/>
        <v>49795.380000000005</v>
      </c>
      <c r="L544" s="89">
        <f t="shared" si="41"/>
        <v>14199413.98</v>
      </c>
      <c r="M544" s="8"/>
    </row>
    <row r="545" spans="1:13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6410853.75</v>
      </c>
      <c r="G548" s="87">
        <f>L525</f>
        <v>593920.27</v>
      </c>
      <c r="H548" s="87">
        <f>L530</f>
        <v>231196.14</v>
      </c>
      <c r="I548" s="87">
        <f>L535</f>
        <v>5399.35</v>
      </c>
      <c r="J548" s="87">
        <f>L540</f>
        <v>221807.61</v>
      </c>
      <c r="K548" s="87">
        <f>SUM(F548:J548)</f>
        <v>7463177.1199999992</v>
      </c>
      <c r="L548" s="24" t="s">
        <v>289</v>
      </c>
      <c r="M548" s="8"/>
    </row>
    <row r="549" spans="1:13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2263694.9699999997</v>
      </c>
      <c r="G549" s="87">
        <f>L526</f>
        <v>532607.14</v>
      </c>
      <c r="H549" s="87">
        <f>L531</f>
        <v>108225.85</v>
      </c>
      <c r="I549" s="87">
        <f>L536</f>
        <v>2648.63</v>
      </c>
      <c r="J549" s="87">
        <f>L541</f>
        <v>265350.25</v>
      </c>
      <c r="K549" s="87">
        <f>SUM(F549:J549)</f>
        <v>3172526.84</v>
      </c>
      <c r="L549" s="24" t="s">
        <v>289</v>
      </c>
      <c r="M549" s="8"/>
    </row>
    <row r="550" spans="1:13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2278408.0799999996</v>
      </c>
      <c r="G550" s="87">
        <f>L527</f>
        <v>859771.82</v>
      </c>
      <c r="H550" s="87">
        <f>L532</f>
        <v>170186.09000000003</v>
      </c>
      <c r="I550" s="87">
        <f>L537</f>
        <v>4164.99</v>
      </c>
      <c r="J550" s="87">
        <f>L542</f>
        <v>251179.04</v>
      </c>
      <c r="K550" s="87">
        <f>SUM(F550:J550)</f>
        <v>3563710.0199999996</v>
      </c>
      <c r="L550" s="24" t="s">
        <v>289</v>
      </c>
      <c r="M550" s="8"/>
    </row>
    <row r="551" spans="1:13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10952956.799999999</v>
      </c>
      <c r="G551" s="89">
        <f t="shared" si="42"/>
        <v>1986299.23</v>
      </c>
      <c r="H551" s="89">
        <f t="shared" si="42"/>
        <v>509608.08</v>
      </c>
      <c r="I551" s="89">
        <f t="shared" si="42"/>
        <v>12212.970000000001</v>
      </c>
      <c r="J551" s="89">
        <f t="shared" si="42"/>
        <v>738336.9</v>
      </c>
      <c r="K551" s="89">
        <f t="shared" si="42"/>
        <v>14199413.979999999</v>
      </c>
      <c r="L551" s="24"/>
      <c r="M551" s="8"/>
    </row>
    <row r="552" spans="1:13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>
        <v>978407.4</v>
      </c>
      <c r="G556" s="18">
        <v>330996.81</v>
      </c>
      <c r="H556" s="18">
        <v>112398.86</v>
      </c>
      <c r="I556" s="18">
        <v>24414.02</v>
      </c>
      <c r="J556" s="18">
        <v>53084.66</v>
      </c>
      <c r="K556" s="18">
        <v>11380.77</v>
      </c>
      <c r="L556" s="88">
        <f>SUM(F556:K556)</f>
        <v>1510682.52</v>
      </c>
      <c r="M556" s="8"/>
    </row>
    <row r="557" spans="1:13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>
        <v>22792.67</v>
      </c>
      <c r="G557" s="18">
        <v>8602.2099999999991</v>
      </c>
      <c r="H557" s="18">
        <v>4000.7</v>
      </c>
      <c r="I557" s="18">
        <v>1179.9100000000001</v>
      </c>
      <c r="J557" s="18">
        <v>7416.95</v>
      </c>
      <c r="K557" s="18">
        <v>371.96</v>
      </c>
      <c r="L557" s="88">
        <f>SUM(F557:K557)</f>
        <v>44364.399999999994</v>
      </c>
      <c r="M557" s="8"/>
    </row>
    <row r="558" spans="1:13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>
        <v>35841.67</v>
      </c>
      <c r="G558" s="18">
        <v>13527.04</v>
      </c>
      <c r="H558" s="18">
        <v>6291.13</v>
      </c>
      <c r="I558" s="18">
        <v>1855.42</v>
      </c>
      <c r="J558" s="18">
        <v>11663.23</v>
      </c>
      <c r="K558" s="18">
        <v>584.9</v>
      </c>
      <c r="L558" s="88">
        <f>SUM(F558:K558)</f>
        <v>69763.389999999985</v>
      </c>
      <c r="M558" s="8"/>
    </row>
    <row r="559" spans="1:13" s="3" customFormat="1" ht="12" customHeight="1" thickTop="1" x14ac:dyDescent="0.15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1037041.7400000001</v>
      </c>
      <c r="G559" s="108">
        <f t="shared" si="43"/>
        <v>353126.06</v>
      </c>
      <c r="H559" s="108">
        <f t="shared" si="43"/>
        <v>122690.69</v>
      </c>
      <c r="I559" s="108">
        <f t="shared" si="43"/>
        <v>27449.35</v>
      </c>
      <c r="J559" s="108">
        <f t="shared" si="43"/>
        <v>72164.84</v>
      </c>
      <c r="K559" s="108">
        <f t="shared" si="43"/>
        <v>12337.63</v>
      </c>
      <c r="L559" s="89">
        <f t="shared" si="43"/>
        <v>1624810.3099999998</v>
      </c>
      <c r="M559" s="8"/>
    </row>
    <row r="560" spans="1:13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>
        <v>2168.48</v>
      </c>
      <c r="G561" s="18">
        <v>296.08</v>
      </c>
      <c r="H561" s="18">
        <v>9215.39</v>
      </c>
      <c r="I561" s="18">
        <v>802.66</v>
      </c>
      <c r="J561" s="18"/>
      <c r="K561" s="18"/>
      <c r="L561" s="88">
        <f>SUM(F561:K561)</f>
        <v>12482.609999999999</v>
      </c>
      <c r="M561" s="8"/>
    </row>
    <row r="562" spans="1:13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2168.48</v>
      </c>
      <c r="G564" s="89">
        <f t="shared" si="44"/>
        <v>296.08</v>
      </c>
      <c r="H564" s="89">
        <f t="shared" si="44"/>
        <v>9215.39</v>
      </c>
      <c r="I564" s="89">
        <f t="shared" si="44"/>
        <v>802.66</v>
      </c>
      <c r="J564" s="89">
        <f t="shared" si="44"/>
        <v>0</v>
      </c>
      <c r="K564" s="89">
        <f t="shared" si="44"/>
        <v>0</v>
      </c>
      <c r="L564" s="89">
        <f t="shared" si="44"/>
        <v>12482.609999999999</v>
      </c>
      <c r="M564" s="8"/>
    </row>
    <row r="565" spans="1:13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 x14ac:dyDescent="0.2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1039210.2200000001</v>
      </c>
      <c r="G570" s="89">
        <f t="shared" ref="G570:L570" si="46">G559+G564+G569</f>
        <v>353422.14</v>
      </c>
      <c r="H570" s="89">
        <f t="shared" si="46"/>
        <v>131906.08000000002</v>
      </c>
      <c r="I570" s="89">
        <f t="shared" si="46"/>
        <v>28252.01</v>
      </c>
      <c r="J570" s="89">
        <f t="shared" si="46"/>
        <v>72164.84</v>
      </c>
      <c r="K570" s="89">
        <f t="shared" si="46"/>
        <v>12337.63</v>
      </c>
      <c r="L570" s="89">
        <f t="shared" si="46"/>
        <v>1637292.92</v>
      </c>
      <c r="M570" s="8"/>
    </row>
    <row r="571" spans="1:13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/>
      <c r="I574" s="87">
        <f>SUM(F574:H574)</f>
        <v>0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>
        <v>14373.76</v>
      </c>
      <c r="G578" s="18">
        <v>25277.82</v>
      </c>
      <c r="H578" s="18">
        <f>72522.21</f>
        <v>72522.210000000006</v>
      </c>
      <c r="I578" s="87">
        <f t="shared" si="47"/>
        <v>112173.79000000001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f>146135.52+37878.54</f>
        <v>184014.06</v>
      </c>
      <c r="G581" s="18">
        <v>289334.06</v>
      </c>
      <c r="H581" s="18">
        <f>348293.22+73152.25</f>
        <v>421445.47</v>
      </c>
      <c r="I581" s="87">
        <f t="shared" si="47"/>
        <v>894793.59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>
        <v>30128.19</v>
      </c>
      <c r="I583" s="87">
        <f t="shared" si="47"/>
        <v>30128.19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426821.1</v>
      </c>
      <c r="I590" s="18">
        <v>209375.01</v>
      </c>
      <c r="J590" s="18">
        <v>329244.06</v>
      </c>
      <c r="K590" s="104">
        <f t="shared" ref="K590:K596" si="48">SUM(H590:J590)</f>
        <v>965440.16999999993</v>
      </c>
      <c r="L590" s="24" t="s">
        <v>289</v>
      </c>
      <c r="M590" s="8"/>
    </row>
    <row r="591" spans="1:13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221807.61</v>
      </c>
      <c r="I591" s="18">
        <v>265350.25</v>
      </c>
      <c r="J591" s="18">
        <v>251179.04</v>
      </c>
      <c r="K591" s="104">
        <f t="shared" si="48"/>
        <v>738336.9</v>
      </c>
      <c r="L591" s="24" t="s">
        <v>289</v>
      </c>
      <c r="M591" s="8"/>
    </row>
    <row r="592" spans="1:13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>
        <v>39013.300000000003</v>
      </c>
      <c r="K592" s="104">
        <f t="shared" si="48"/>
        <v>39013.300000000003</v>
      </c>
      <c r="L592" s="24" t="s">
        <v>289</v>
      </c>
      <c r="M592" s="8"/>
    </row>
    <row r="593" spans="1:13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>
        <v>7495.67</v>
      </c>
      <c r="J593" s="18">
        <v>80970.02</v>
      </c>
      <c r="K593" s="104">
        <f t="shared" si="48"/>
        <v>88465.69</v>
      </c>
      <c r="L593" s="24" t="s">
        <v>289</v>
      </c>
      <c r="M593" s="8"/>
    </row>
    <row r="594" spans="1:13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/>
      <c r="I594" s="18">
        <v>2420.81</v>
      </c>
      <c r="J594" s="18">
        <v>5618.42</v>
      </c>
      <c r="K594" s="104">
        <f t="shared" si="48"/>
        <v>8039.23</v>
      </c>
      <c r="L594" s="24" t="s">
        <v>289</v>
      </c>
      <c r="M594" s="8"/>
    </row>
    <row r="595" spans="1:13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648628.71</v>
      </c>
      <c r="I597" s="108">
        <f>SUM(I590:I596)</f>
        <v>484641.74</v>
      </c>
      <c r="J597" s="108">
        <f>SUM(J590:J596)</f>
        <v>706024.84000000008</v>
      </c>
      <c r="K597" s="108">
        <f>SUM(K590:K596)</f>
        <v>1839295.2899999998</v>
      </c>
      <c r="L597" s="24" t="s">
        <v>289</v>
      </c>
      <c r="M597" s="8"/>
    </row>
    <row r="598" spans="1:13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f>454636.61-1660.1</f>
        <v>452976.51</v>
      </c>
      <c r="I603" s="18">
        <v>191028.31</v>
      </c>
      <c r="J603" s="18">
        <v>419129.21</v>
      </c>
      <c r="K603" s="104">
        <f>SUM(H603:J603)</f>
        <v>1063134.03</v>
      </c>
      <c r="L603" s="24" t="s">
        <v>289</v>
      </c>
      <c r="M603" s="8"/>
    </row>
    <row r="604" spans="1:13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452976.51</v>
      </c>
      <c r="I604" s="108">
        <f>SUM(I601:I603)</f>
        <v>191028.31</v>
      </c>
      <c r="J604" s="108">
        <f>SUM(J601:J603)</f>
        <v>419129.21</v>
      </c>
      <c r="K604" s="108">
        <f>SUM(K601:K603)</f>
        <v>1063134.03</v>
      </c>
      <c r="L604" s="24" t="s">
        <v>289</v>
      </c>
      <c r="M604" s="8"/>
    </row>
    <row r="605" spans="1:13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>
        <v>8543.9699999999993</v>
      </c>
      <c r="G611" s="18">
        <v>1796.26</v>
      </c>
      <c r="H611" s="18"/>
      <c r="I611" s="18"/>
      <c r="J611" s="18"/>
      <c r="K611" s="18"/>
      <c r="L611" s="88">
        <f>SUM(F611:K611)</f>
        <v>10340.23</v>
      </c>
      <c r="M611" s="8"/>
    </row>
    <row r="612" spans="1:13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>
        <v>18285.02</v>
      </c>
      <c r="G612" s="18">
        <v>3878.43</v>
      </c>
      <c r="H612" s="18"/>
      <c r="I612" s="18"/>
      <c r="J612" s="18"/>
      <c r="K612" s="18"/>
      <c r="L612" s="88">
        <f>SUM(F612:K612)</f>
        <v>22163.45</v>
      </c>
      <c r="M612" s="8"/>
    </row>
    <row r="613" spans="1:13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26828.989999999998</v>
      </c>
      <c r="G613" s="108">
        <f t="shared" si="49"/>
        <v>5674.69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32503.68</v>
      </c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0</v>
      </c>
      <c r="H616" s="109">
        <f>SUM(F51)</f>
        <v>0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108409.61</v>
      </c>
      <c r="H617" s="109">
        <f>SUM(G51)</f>
        <v>108409.61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819360.61</v>
      </c>
      <c r="H618" s="109">
        <f>SUM(H51)</f>
        <v>819360.61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111113.72</v>
      </c>
      <c r="H619" s="109">
        <f>SUM(I51)</f>
        <v>111113.72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0</v>
      </c>
      <c r="H620" s="109">
        <f>SUM(J51)</f>
        <v>0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 x14ac:dyDescent="0.15">
      <c r="A621" s="97"/>
      <c r="B621" s="105"/>
      <c r="C621" s="105"/>
      <c r="D621" s="105"/>
      <c r="E621" s="105"/>
      <c r="F621" s="121" t="s">
        <v>896</v>
      </c>
      <c r="G621" s="109">
        <f>F50</f>
        <v>0</v>
      </c>
      <c r="H621" s="109">
        <f>F475</f>
        <v>0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3" s="3" customFormat="1" ht="12" customHeight="1" x14ac:dyDescent="0.15">
      <c r="A622" s="97"/>
      <c r="B622" s="105"/>
      <c r="C622" s="119"/>
      <c r="D622" s="119"/>
      <c r="E622" s="119"/>
      <c r="F622" s="119" t="s">
        <v>897</v>
      </c>
      <c r="G622" s="109">
        <f>G50</f>
        <v>108409.61</v>
      </c>
      <c r="H622" s="109">
        <f>G475</f>
        <v>108409.61000000034</v>
      </c>
      <c r="I622" s="121" t="s">
        <v>102</v>
      </c>
      <c r="J622" s="109">
        <f t="shared" si="50"/>
        <v>-3.3469405025243759E-10</v>
      </c>
      <c r="K622" s="109"/>
      <c r="L622" s="109"/>
      <c r="M622" s="8"/>
    </row>
    <row r="623" spans="1:13" s="3" customFormat="1" ht="12" customHeight="1" x14ac:dyDescent="0.15">
      <c r="A623" s="97"/>
      <c r="B623" s="105"/>
      <c r="C623" s="105"/>
      <c r="D623" s="105"/>
      <c r="E623" s="105"/>
      <c r="F623" s="120" t="s">
        <v>898</v>
      </c>
      <c r="G623" s="109">
        <f>H50</f>
        <v>18575.150000000001</v>
      </c>
      <c r="H623" s="109">
        <f>H475</f>
        <v>18575.150000000373</v>
      </c>
      <c r="I623" s="121" t="s">
        <v>103</v>
      </c>
      <c r="J623" s="109">
        <f t="shared" si="50"/>
        <v>-3.7107383832335472E-10</v>
      </c>
      <c r="K623" s="109"/>
      <c r="L623" s="109"/>
      <c r="M623" s="8"/>
    </row>
    <row r="624" spans="1:13" s="3" customFormat="1" ht="12" customHeight="1" x14ac:dyDescent="0.15">
      <c r="A624" s="97"/>
      <c r="B624" s="105"/>
      <c r="C624" s="105"/>
      <c r="D624" s="105"/>
      <c r="E624" s="105"/>
      <c r="F624" s="120" t="s">
        <v>899</v>
      </c>
      <c r="G624" s="109">
        <f>I50</f>
        <v>111113.72</v>
      </c>
      <c r="H624" s="109">
        <f>I475</f>
        <v>111113.72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900</v>
      </c>
      <c r="G625" s="109">
        <f>J50</f>
        <v>0</v>
      </c>
      <c r="H625" s="109">
        <f>J475</f>
        <v>0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54780504.369999997</v>
      </c>
      <c r="H626" s="104">
        <f>SUM(F467)</f>
        <v>54780504.369999997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1849842.21</v>
      </c>
      <c r="H627" s="104">
        <f>SUM(G467)</f>
        <v>1849842.21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4457579.87</v>
      </c>
      <c r="H628" s="104">
        <f>SUM(H467)</f>
        <v>4457579.87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111113.72</v>
      </c>
      <c r="H629" s="104">
        <f>SUM(I467)</f>
        <v>111113.72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0</v>
      </c>
      <c r="H630" s="104">
        <f>SUM(J467)</f>
        <v>0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53141211.239999987</v>
      </c>
      <c r="H631" s="104">
        <f>SUM(F471)</f>
        <v>53141211.240000002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4486047.0199999996</v>
      </c>
      <c r="H632" s="104">
        <f>SUM(H471)</f>
        <v>4486047.0199999996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857837.39999999991</v>
      </c>
      <c r="H633" s="104">
        <f>I368</f>
        <v>857837.40000000014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2055564.1999999997</v>
      </c>
      <c r="H634" s="104">
        <f>SUM(G471)</f>
        <v>2055564.2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6998.49</v>
      </c>
      <c r="H635" s="104">
        <f>SUM(I471)</f>
        <v>6998.49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0</v>
      </c>
      <c r="H636" s="164">
        <f>SUM(J467)</f>
        <v>0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0</v>
      </c>
      <c r="H639" s="104">
        <f>SUM(G460)</f>
        <v>0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0</v>
      </c>
      <c r="H641" s="104">
        <f>SUM(I460)</f>
        <v>0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0</v>
      </c>
      <c r="H643" s="104">
        <f>H407</f>
        <v>0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0</v>
      </c>
      <c r="H645" s="104">
        <f>L407</f>
        <v>0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1839295.2899999998</v>
      </c>
      <c r="H646" s="104">
        <f>L207+L225+L243</f>
        <v>1839295.29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1063134.03</v>
      </c>
      <c r="H647" s="104">
        <f>(J256+J337)-(J254+J335)</f>
        <v>1063134.0299999998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648628.71</v>
      </c>
      <c r="H648" s="104">
        <f>H597</f>
        <v>648628.71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484641.74</v>
      </c>
      <c r="H649" s="104">
        <f>I597</f>
        <v>484641.74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706024.84</v>
      </c>
      <c r="H650" s="104">
        <f>J597</f>
        <v>706024.84000000008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26653965.029999994</v>
      </c>
      <c r="G659" s="19">
        <f>(L228+L308+L358)</f>
        <v>11920514.520000001</v>
      </c>
      <c r="H659" s="19">
        <f>(L246+L327+L359)</f>
        <v>18683416.220000003</v>
      </c>
      <c r="I659" s="19">
        <f>SUM(F659:H659)</f>
        <v>57257895.769999996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365085.59465475124</v>
      </c>
      <c r="G660" s="19">
        <f>(L358/IF(SUM(L357:L359)=0,1,SUM(L357:L359))*(SUM(G96:G109)))</f>
        <v>148872.47299679459</v>
      </c>
      <c r="H660" s="19">
        <f>(L359/IF(SUM(L357:L359)=0,1,SUM(L357:L359))*(SUM(G96:G109)))</f>
        <v>265564.50234845426</v>
      </c>
      <c r="I660" s="19">
        <f>SUM(F660:H660)</f>
        <v>779522.57000000007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648628.71</v>
      </c>
      <c r="G661" s="19">
        <f>(L225+L305)-(J225+J305)</f>
        <v>484641.74</v>
      </c>
      <c r="H661" s="19">
        <f>(L243+L324)-(J243+J324)</f>
        <v>706024.84</v>
      </c>
      <c r="I661" s="19">
        <f>SUM(F661:H661)</f>
        <v>1839295.29</v>
      </c>
      <c r="J661"/>
      <c r="K661" s="13"/>
      <c r="L661" s="13"/>
      <c r="M661" s="8"/>
    </row>
    <row r="662" spans="1:13" s="3" customFormat="1" ht="12" customHeight="1" x14ac:dyDescent="0.15">
      <c r="A662" s="199" t="s">
        <v>129</v>
      </c>
      <c r="B662" s="169"/>
      <c r="C662" s="169"/>
      <c r="D662" s="169"/>
      <c r="E662" s="169"/>
      <c r="F662" s="200">
        <f>SUM(F574:F586)+SUM(H601:H603)+SUM(L610)</f>
        <v>651364.33000000007</v>
      </c>
      <c r="G662" s="200">
        <f>SUM(G574:G586)+SUM(I601:I603)+L611</f>
        <v>515980.42</v>
      </c>
      <c r="H662" s="200">
        <f>SUM(H574:H586)+SUM(J601:J603)+L612</f>
        <v>965388.53</v>
      </c>
      <c r="I662" s="19">
        <f>SUM(F662:H662)</f>
        <v>2132733.2800000003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24988886.395345241</v>
      </c>
      <c r="G663" s="19">
        <f>G659-SUM(G660:G662)</f>
        <v>10771019.887003208</v>
      </c>
      <c r="H663" s="19">
        <f>H659-SUM(H660:H662)</f>
        <v>16746438.347651549</v>
      </c>
      <c r="I663" s="19">
        <f>I659-SUM(I660:I662)</f>
        <v>52506344.629999995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8">
        <v>1897.35</v>
      </c>
      <c r="G664" s="249">
        <v>930.69</v>
      </c>
      <c r="H664" s="249">
        <v>1463.6</v>
      </c>
      <c r="I664" s="19">
        <f>SUM(F664:H664)</f>
        <v>4291.6399999999994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13170.41</v>
      </c>
      <c r="G666" s="19">
        <f>ROUND(G663/G664,2)</f>
        <v>11573.16</v>
      </c>
      <c r="H666" s="19">
        <f>ROUND(H663/H664,2)</f>
        <v>11441.95</v>
      </c>
      <c r="I666" s="19">
        <f>ROUND(I663/I664,2)</f>
        <v>12234.56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/>
      <c r="I668" s="19">
        <f>SUM(F668:H668)</f>
        <v>0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>
        <v>-5.48</v>
      </c>
      <c r="I669" s="19">
        <f>SUM(F669:H669)</f>
        <v>-5.48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13170.41</v>
      </c>
      <c r="G671" s="19">
        <f>ROUND((G663+G668)/(G664+G669),2)</f>
        <v>11573.16</v>
      </c>
      <c r="H671" s="19">
        <f>ROUND((H663+H668)/(H664+H669),2)</f>
        <v>11484.95</v>
      </c>
      <c r="I671" s="19">
        <f>ROUND((I663+I668)/(I664+I669),2)</f>
        <v>12250.21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785</v>
      </c>
      <c r="B1" s="233" t="str">
        <f>'DOE25'!A2</f>
        <v>Rochester SD</v>
      </c>
      <c r="C1" s="239" t="s">
        <v>839</v>
      </c>
    </row>
    <row r="2" spans="1:3" x14ac:dyDescent="0.2">
      <c r="A2" s="234"/>
      <c r="B2" s="233"/>
    </row>
    <row r="3" spans="1:3" x14ac:dyDescent="0.2">
      <c r="A3" s="274" t="s">
        <v>784</v>
      </c>
      <c r="B3" s="274"/>
      <c r="C3" s="274"/>
    </row>
    <row r="4" spans="1:3" x14ac:dyDescent="0.2">
      <c r="A4" s="237"/>
      <c r="B4" s="238" t="str">
        <f>'DOE25'!H1</f>
        <v>DOE 25  2011-2012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783</v>
      </c>
      <c r="C6" s="273"/>
    </row>
    <row r="7" spans="1:3" x14ac:dyDescent="0.2">
      <c r="A7" s="240" t="s">
        <v>786</v>
      </c>
      <c r="B7" s="271" t="s">
        <v>782</v>
      </c>
      <c r="C7" s="272"/>
    </row>
    <row r="8" spans="1:3" x14ac:dyDescent="0.2">
      <c r="B8" s="229" t="s">
        <v>54</v>
      </c>
      <c r="C8" s="229" t="s">
        <v>776</v>
      </c>
    </row>
    <row r="9" spans="1:3" x14ac:dyDescent="0.2">
      <c r="A9" s="33" t="s">
        <v>777</v>
      </c>
      <c r="B9" s="230">
        <f>'DOE25'!F196+'DOE25'!F214+'DOE25'!F232+'DOE25'!F275+'DOE25'!F294+'DOE25'!F313</f>
        <v>14332987.77</v>
      </c>
      <c r="C9" s="230">
        <f>'DOE25'!G196+'DOE25'!G214+'DOE25'!G232+'DOE25'!G275+'DOE25'!G294+'DOE25'!G313</f>
        <v>5793125.209999999</v>
      </c>
    </row>
    <row r="10" spans="1:3" x14ac:dyDescent="0.2">
      <c r="A10" t="s">
        <v>779</v>
      </c>
      <c r="B10" s="241">
        <f>463116.36+150799.88+5869248.91+3176151.87+3647651.74</f>
        <v>13306968.76</v>
      </c>
      <c r="C10" s="241">
        <f>102838.48+2050.52+284.01+30088.24+47273.34+39+42143.69+592.14+100.98+12134.29+17365.89+1359159.74+21382.72+3163.43+467400.04+680128.94+40699-30204.86-1488.87-17674.99+713761.09+12060.19+1640.21+237905.04+368246.98+19390-4335.4-6116.05+834449.32+14474.21+2059.65+280262.77+403321.77+23613-7866.93-10803.36+28877.65</f>
        <v>5688415.8700000001</v>
      </c>
    </row>
    <row r="11" spans="1:3" x14ac:dyDescent="0.2">
      <c r="A11" t="s">
        <v>780</v>
      </c>
      <c r="B11" s="241">
        <f>12672.36+394834.81+56671.87+102835.75</f>
        <v>567014.79</v>
      </c>
      <c r="C11" s="241">
        <f>1488.87+420.65+30204.86+4335.4+78.1+7866.93+14239.12</f>
        <v>58633.93</v>
      </c>
    </row>
    <row r="12" spans="1:3" x14ac:dyDescent="0.2">
      <c r="A12" t="s">
        <v>781</v>
      </c>
      <c r="B12" s="241">
        <f>6790+231045.51+79948.34+12263+128957.37</f>
        <v>459004.22</v>
      </c>
      <c r="C12" s="241">
        <f>17674.99+6116.05+10803.36+1481.01+38877.65-28877.65</f>
        <v>46075.409999999996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14332987.770000001</v>
      </c>
      <c r="C13" s="232">
        <f>SUM(C10:C12)</f>
        <v>5793125.21</v>
      </c>
    </row>
    <row r="14" spans="1:3" x14ac:dyDescent="0.2">
      <c r="B14" s="231"/>
      <c r="C14" s="231"/>
    </row>
    <row r="15" spans="1:3" x14ac:dyDescent="0.2">
      <c r="B15" s="273" t="s">
        <v>783</v>
      </c>
      <c r="C15" s="273"/>
    </row>
    <row r="16" spans="1:3" x14ac:dyDescent="0.2">
      <c r="A16" s="240" t="s">
        <v>787</v>
      </c>
      <c r="B16" s="271" t="s">
        <v>707</v>
      </c>
      <c r="C16" s="272"/>
    </row>
    <row r="17" spans="1:3" x14ac:dyDescent="0.2">
      <c r="B17" s="229" t="s">
        <v>54</v>
      </c>
      <c r="C17" s="229" t="s">
        <v>776</v>
      </c>
    </row>
    <row r="18" spans="1:3" x14ac:dyDescent="0.2">
      <c r="A18" s="33" t="s">
        <v>777</v>
      </c>
      <c r="B18" s="230">
        <f>'DOE25'!F197+'DOE25'!F215+'DOE25'!F233+'DOE25'!F276+'DOE25'!F295+'DOE25'!F314</f>
        <v>8501181.620000001</v>
      </c>
      <c r="C18" s="230">
        <f>'DOE25'!G197+'DOE25'!G215+'DOE25'!G233+'DOE25'!G276+'DOE25'!G295+'DOE25'!G314</f>
        <v>3036398.1799999997</v>
      </c>
    </row>
    <row r="19" spans="1:3" x14ac:dyDescent="0.2">
      <c r="A19" t="s">
        <v>779</v>
      </c>
      <c r="B19" s="241">
        <f>185605.08+3090789.18+854406.48+651644.23+131848.78+691946.44+33597.39-0.03</f>
        <v>5639837.5500000007</v>
      </c>
      <c r="C19" s="241">
        <f>2647.94+179+52212.49+825.66+98.01+15422.25+17193.55+1601-10299.72+736843.68+12670.65+1845.32+326181.27+364473.42+24747-91667.37-15057.06+339044.77+5296.7+701.94+91969.4+98714.23+6951-26773.17-5378.45+317505.95+5553.36+628.88+81644.5+75418.81+6745-35904.06-2746.4+72405.83+1322.11+254.58+31647.84+17226.73-17911.97-4470.51+144878.46+2366.88+286.01+61798.68+67808.86-9712.21</f>
        <v>2767190.8399999994</v>
      </c>
    </row>
    <row r="20" spans="1:3" x14ac:dyDescent="0.2">
      <c r="A20" t="s">
        <v>780</v>
      </c>
      <c r="B20" s="241">
        <f>34516.82+1198266.26+42786.13+349976.09+469334.17+234143.39+126956.93</f>
        <v>2455979.79</v>
      </c>
      <c r="C20" s="241">
        <f>10299.72+1749.4+91667.37+9783.41+26773.17+16100.36+12910.46+35904.06+8647.39+17911.97+9712.21+95.4</f>
        <v>241554.91999999995</v>
      </c>
    </row>
    <row r="21" spans="1:3" x14ac:dyDescent="0.2">
      <c r="A21" t="s">
        <v>781</v>
      </c>
      <c r="B21" s="241">
        <f>120+55530.1+141294.23+30547.2+10097+60209.59+14628.16+21272.5+55000+3438+13227.5</f>
        <v>405364.27999999997</v>
      </c>
      <c r="C21" s="241">
        <f>15057.06+5378.45+2746.4+4470.51</f>
        <v>27652.42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8501181.620000001</v>
      </c>
      <c r="C22" s="232">
        <f>SUM(C19:C21)</f>
        <v>3036398.1799999992</v>
      </c>
    </row>
    <row r="23" spans="1:3" x14ac:dyDescent="0.2">
      <c r="B23" s="231"/>
      <c r="C23" s="231"/>
    </row>
    <row r="24" spans="1:3" x14ac:dyDescent="0.2">
      <c r="B24" s="273" t="s">
        <v>783</v>
      </c>
      <c r="C24" s="273"/>
    </row>
    <row r="25" spans="1:3" x14ac:dyDescent="0.2">
      <c r="A25" s="240" t="s">
        <v>788</v>
      </c>
      <c r="B25" s="271" t="s">
        <v>708</v>
      </c>
      <c r="C25" s="272"/>
    </row>
    <row r="26" spans="1:3" x14ac:dyDescent="0.2">
      <c r="B26" s="229" t="s">
        <v>54</v>
      </c>
      <c r="C26" s="229" t="s">
        <v>776</v>
      </c>
    </row>
    <row r="27" spans="1:3" x14ac:dyDescent="0.2">
      <c r="A27" s="33" t="s">
        <v>777</v>
      </c>
      <c r="B27" s="235">
        <f>'DOE25'!F198+'DOE25'!F216+'DOE25'!F234+'DOE25'!F277+'DOE25'!F296+'DOE25'!F315</f>
        <v>1222419.5099999998</v>
      </c>
      <c r="C27" s="235">
        <f>'DOE25'!G198+'DOE25'!G216+'DOE25'!G234+'DOE25'!G277+'DOE25'!G296+'DOE25'!G315</f>
        <v>530109.30999999994</v>
      </c>
    </row>
    <row r="28" spans="1:3" x14ac:dyDescent="0.2">
      <c r="A28" t="s">
        <v>779</v>
      </c>
      <c r="B28" s="241">
        <f>1089531.48+26375+0.01</f>
        <v>1115906.49</v>
      </c>
      <c r="C28" s="241">
        <f>316711.38+125851.91+4370.16+544.5+77637.87-2230.89+2013.1+2980.38+0.01-5917.36</f>
        <v>521961.06000000006</v>
      </c>
    </row>
    <row r="29" spans="1:3" x14ac:dyDescent="0.2">
      <c r="A29" t="s">
        <v>780</v>
      </c>
      <c r="B29" s="241">
        <v>77351.09</v>
      </c>
      <c r="C29" s="241">
        <v>5917.36</v>
      </c>
    </row>
    <row r="30" spans="1:3" x14ac:dyDescent="0.2">
      <c r="A30" t="s">
        <v>781</v>
      </c>
      <c r="B30" s="241">
        <v>29161.93</v>
      </c>
      <c r="C30" s="241">
        <v>2230.89</v>
      </c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1222419.51</v>
      </c>
      <c r="C31" s="232">
        <f>SUM(C28:C30)</f>
        <v>530109.31000000006</v>
      </c>
    </row>
    <row r="33" spans="1:3" x14ac:dyDescent="0.2">
      <c r="B33" s="273" t="s">
        <v>783</v>
      </c>
      <c r="C33" s="273"/>
    </row>
    <row r="34" spans="1:3" x14ac:dyDescent="0.2">
      <c r="A34" s="240" t="s">
        <v>789</v>
      </c>
      <c r="B34" s="271" t="s">
        <v>709</v>
      </c>
      <c r="C34" s="272"/>
    </row>
    <row r="35" spans="1:3" x14ac:dyDescent="0.2">
      <c r="B35" s="229" t="s">
        <v>54</v>
      </c>
      <c r="C35" s="229" t="s">
        <v>776</v>
      </c>
    </row>
    <row r="36" spans="1:3" x14ac:dyDescent="0.2">
      <c r="A36" s="33" t="s">
        <v>777</v>
      </c>
      <c r="B36" s="236">
        <f>'DOE25'!F199+'DOE25'!F217+'DOE25'!F235+'DOE25'!F278+'DOE25'!F297+'DOE25'!F316</f>
        <v>306784.43</v>
      </c>
      <c r="C36" s="236">
        <f>'DOE25'!G199+'DOE25'!G217+'DOE25'!G235+'DOE25'!G278+'DOE25'!G297+'DOE25'!G316</f>
        <v>72420.459999999992</v>
      </c>
    </row>
    <row r="37" spans="1:3" x14ac:dyDescent="0.2">
      <c r="A37" t="s">
        <v>779</v>
      </c>
      <c r="B37" s="241">
        <f>183551.93+8543.97+18285.02</f>
        <v>210380.91999999998</v>
      </c>
      <c r="C37" s="241">
        <f>21959.44-7024.91+23075.53-8587.75+472.34+405+1000+653.61+1060.65+82+1397.96+2308.47+172</f>
        <v>36974.339999999997</v>
      </c>
    </row>
    <row r="38" spans="1:3" x14ac:dyDescent="0.2">
      <c r="A38" t="s">
        <v>780</v>
      </c>
      <c r="B38" s="241"/>
      <c r="C38" s="241"/>
    </row>
    <row r="39" spans="1:3" x14ac:dyDescent="0.2">
      <c r="A39" t="s">
        <v>781</v>
      </c>
      <c r="B39" s="241">
        <f>74165.52+22237.99</f>
        <v>96403.510000000009</v>
      </c>
      <c r="C39" s="241">
        <f>19082.58+216.84+144.04+8587.75+7024.91+390</f>
        <v>35446.120000000003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306784.43</v>
      </c>
      <c r="C40" s="232">
        <f>SUM(C37:C39)</f>
        <v>72420.459999999992</v>
      </c>
    </row>
    <row r="41" spans="1:3" x14ac:dyDescent="0.2">
      <c r="B41" s="231"/>
      <c r="C41" s="231"/>
    </row>
    <row r="42" spans="1:3" x14ac:dyDescent="0.2">
      <c r="A42" s="33" t="s">
        <v>837</v>
      </c>
      <c r="B42" s="231"/>
      <c r="C42" s="231"/>
    </row>
    <row r="43" spans="1:3" x14ac:dyDescent="0.2">
      <c r="A43" t="s">
        <v>841</v>
      </c>
      <c r="B43" s="231"/>
      <c r="C43" s="231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5" t="s">
        <v>778</v>
      </c>
    </row>
    <row r="49" spans="1:1" x14ac:dyDescent="0.2">
      <c r="A49" s="269" t="s">
        <v>844</v>
      </c>
    </row>
    <row r="50" spans="1:1" x14ac:dyDescent="0.2">
      <c r="A50" s="269" t="s">
        <v>838</v>
      </c>
    </row>
    <row r="51" spans="1:1" x14ac:dyDescent="0.2">
      <c r="A51" s="269" t="s">
        <v>845</v>
      </c>
    </row>
    <row r="52" spans="1:1" x14ac:dyDescent="0.2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A5" sqref="A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717</v>
      </c>
      <c r="B2" s="266" t="str">
        <f>'DOE25'!A2</f>
        <v>Rochester SD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 x14ac:dyDescent="0.2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 x14ac:dyDescent="0.2">
      <c r="A5" s="32">
        <v>1000</v>
      </c>
      <c r="B5" t="s">
        <v>195</v>
      </c>
      <c r="C5" s="246">
        <f t="shared" ref="C5:C19" si="0">SUM(D5:H5)</f>
        <v>34643059.519999996</v>
      </c>
      <c r="D5" s="20">
        <f>SUM('DOE25'!L196:L199)+SUM('DOE25'!L214:L217)+SUM('DOE25'!L232:L235)-F5-G5</f>
        <v>34464617.969999999</v>
      </c>
      <c r="E5" s="244"/>
      <c r="F5" s="256">
        <f>SUM('DOE25'!J196:J199)+SUM('DOE25'!J214:J217)+SUM('DOE25'!J232:J235)</f>
        <v>104279.47</v>
      </c>
      <c r="G5" s="53">
        <f>SUM('DOE25'!K196:K199)+SUM('DOE25'!K214:K217)+SUM('DOE25'!K232:K235)</f>
        <v>74162.080000000002</v>
      </c>
      <c r="H5" s="260"/>
    </row>
    <row r="6" spans="1:9" x14ac:dyDescent="0.2">
      <c r="A6" s="32">
        <v>2100</v>
      </c>
      <c r="B6" t="s">
        <v>801</v>
      </c>
      <c r="C6" s="246">
        <f t="shared" si="0"/>
        <v>2148979.17</v>
      </c>
      <c r="D6" s="20">
        <f>'DOE25'!L201+'DOE25'!L219+'DOE25'!L237-F6-G6</f>
        <v>2140728.61</v>
      </c>
      <c r="E6" s="244"/>
      <c r="F6" s="256">
        <f>'DOE25'!J201+'DOE25'!J219+'DOE25'!J237</f>
        <v>7930.5599999999995</v>
      </c>
      <c r="G6" s="53">
        <f>'DOE25'!K201+'DOE25'!K219+'DOE25'!K237</f>
        <v>320</v>
      </c>
      <c r="H6" s="260"/>
    </row>
    <row r="7" spans="1:9" x14ac:dyDescent="0.2">
      <c r="A7" s="32">
        <v>2200</v>
      </c>
      <c r="B7" t="s">
        <v>834</v>
      </c>
      <c r="C7" s="246">
        <f t="shared" si="0"/>
        <v>2396924.0099999993</v>
      </c>
      <c r="D7" s="20">
        <f>'DOE25'!L202+'DOE25'!L220+'DOE25'!L238-F7-G7</f>
        <v>1716824.1799999997</v>
      </c>
      <c r="E7" s="244"/>
      <c r="F7" s="256">
        <f>'DOE25'!J202+'DOE25'!J220+'DOE25'!J238</f>
        <v>679637.97</v>
      </c>
      <c r="G7" s="53">
        <f>'DOE25'!K202+'DOE25'!K220+'DOE25'!K238</f>
        <v>461.86</v>
      </c>
      <c r="H7" s="260"/>
    </row>
    <row r="8" spans="1:9" x14ac:dyDescent="0.2">
      <c r="A8" s="32">
        <v>2300</v>
      </c>
      <c r="B8" t="s">
        <v>802</v>
      </c>
      <c r="C8" s="246">
        <f t="shared" si="0"/>
        <v>1487225.81</v>
      </c>
      <c r="D8" s="244"/>
      <c r="E8" s="20">
        <f>'DOE25'!L203+'DOE25'!L221+'DOE25'!L239-F8-G8-D9-D11</f>
        <v>1385107.27</v>
      </c>
      <c r="F8" s="256">
        <f>'DOE25'!J203+'DOE25'!J221+'DOE25'!J239</f>
        <v>19079.61</v>
      </c>
      <c r="G8" s="53">
        <f>'DOE25'!K203+'DOE25'!K221+'DOE25'!K239</f>
        <v>83038.930000000008</v>
      </c>
      <c r="H8" s="260"/>
    </row>
    <row r="9" spans="1:9" x14ac:dyDescent="0.2">
      <c r="A9" s="32">
        <v>2310</v>
      </c>
      <c r="B9" t="s">
        <v>818</v>
      </c>
      <c r="C9" s="246">
        <f t="shared" si="0"/>
        <v>149294.45000000001</v>
      </c>
      <c r="D9" s="245">
        <v>149294.45000000001</v>
      </c>
      <c r="E9" s="244"/>
      <c r="F9" s="259"/>
      <c r="G9" s="257"/>
      <c r="H9" s="260"/>
    </row>
    <row r="10" spans="1:9" x14ac:dyDescent="0.2">
      <c r="A10" s="32">
        <v>2317</v>
      </c>
      <c r="B10" t="s">
        <v>819</v>
      </c>
      <c r="C10" s="246">
        <f t="shared" si="0"/>
        <v>5400</v>
      </c>
      <c r="D10" s="244"/>
      <c r="E10" s="245">
        <v>5400</v>
      </c>
      <c r="F10" s="259"/>
      <c r="G10" s="257"/>
      <c r="H10" s="260"/>
    </row>
    <row r="11" spans="1:9" x14ac:dyDescent="0.2">
      <c r="A11" s="32">
        <v>2321</v>
      </c>
      <c r="B11" t="s">
        <v>831</v>
      </c>
      <c r="C11" s="246">
        <f t="shared" si="0"/>
        <v>251159.85</v>
      </c>
      <c r="D11" s="245">
        <v>251159.85</v>
      </c>
      <c r="E11" s="244"/>
      <c r="F11" s="259"/>
      <c r="G11" s="257"/>
      <c r="H11" s="260"/>
    </row>
    <row r="12" spans="1:9" x14ac:dyDescent="0.2">
      <c r="A12" s="32">
        <v>2400</v>
      </c>
      <c r="B12" t="s">
        <v>715</v>
      </c>
      <c r="C12" s="246">
        <f t="shared" si="0"/>
        <v>2991237.27</v>
      </c>
      <c r="D12" s="20">
        <f>'DOE25'!L204+'DOE25'!L222+'DOE25'!L240-F12-G12</f>
        <v>2968743.71</v>
      </c>
      <c r="E12" s="244"/>
      <c r="F12" s="256">
        <f>'DOE25'!J204+'DOE25'!J222+'DOE25'!J240</f>
        <v>8714.7099999999991</v>
      </c>
      <c r="G12" s="53">
        <f>'DOE25'!K204+'DOE25'!K222+'DOE25'!K240</f>
        <v>13778.85</v>
      </c>
      <c r="H12" s="260"/>
    </row>
    <row r="13" spans="1:9" x14ac:dyDescent="0.2">
      <c r="A13" s="32">
        <v>2500</v>
      </c>
      <c r="B13" t="s">
        <v>803</v>
      </c>
      <c r="C13" s="246">
        <f t="shared" si="0"/>
        <v>454534.76</v>
      </c>
      <c r="D13" s="244"/>
      <c r="E13" s="20">
        <f>'DOE25'!L205+'DOE25'!L223+'DOE25'!L241-F13-G13</f>
        <v>454020.76</v>
      </c>
      <c r="F13" s="256">
        <f>'DOE25'!J205+'DOE25'!J223+'DOE25'!J241</f>
        <v>0</v>
      </c>
      <c r="G13" s="53">
        <f>'DOE25'!K205+'DOE25'!K223+'DOE25'!K241</f>
        <v>514</v>
      </c>
      <c r="H13" s="260"/>
    </row>
    <row r="14" spans="1:9" x14ac:dyDescent="0.2">
      <c r="A14" s="32">
        <v>2600</v>
      </c>
      <c r="B14" t="s">
        <v>832</v>
      </c>
      <c r="C14" s="246">
        <f t="shared" si="0"/>
        <v>4367562.54</v>
      </c>
      <c r="D14" s="20">
        <f>'DOE25'!L206+'DOE25'!L224+'DOE25'!L242-F14-G14</f>
        <v>4324062.2</v>
      </c>
      <c r="E14" s="244"/>
      <c r="F14" s="256">
        <f>'DOE25'!J206+'DOE25'!J224+'DOE25'!J242</f>
        <v>43200.34</v>
      </c>
      <c r="G14" s="53">
        <f>'DOE25'!K206+'DOE25'!K224+'DOE25'!K242</f>
        <v>300</v>
      </c>
      <c r="H14" s="260"/>
    </row>
    <row r="15" spans="1:9" x14ac:dyDescent="0.2">
      <c r="A15" s="32">
        <v>2700</v>
      </c>
      <c r="B15" t="s">
        <v>804</v>
      </c>
      <c r="C15" s="246">
        <f t="shared" si="0"/>
        <v>1839295.29</v>
      </c>
      <c r="D15" s="20">
        <f>'DOE25'!L207+'DOE25'!L225+'DOE25'!L243-F15-G15</f>
        <v>1839295.29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 x14ac:dyDescent="0.2">
      <c r="A16" s="32">
        <v>2800</v>
      </c>
      <c r="B16" t="s">
        <v>805</v>
      </c>
      <c r="C16" s="246">
        <f t="shared" si="0"/>
        <v>4336.9799999999996</v>
      </c>
      <c r="D16" s="244"/>
      <c r="E16" s="20">
        <f>'DOE25'!L208+'DOE25'!L226+'DOE25'!L244-F16-G16</f>
        <v>4336.9799999999996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 x14ac:dyDescent="0.2">
      <c r="A17" s="32">
        <v>1600</v>
      </c>
      <c r="B17" t="s">
        <v>806</v>
      </c>
      <c r="C17" s="246">
        <f t="shared" si="0"/>
        <v>10101.1</v>
      </c>
      <c r="D17" s="20">
        <f>'DOE25'!L250-F17-G17</f>
        <v>10101.1</v>
      </c>
      <c r="E17" s="244"/>
      <c r="F17" s="256">
        <f>'DOE25'!J250</f>
        <v>0</v>
      </c>
      <c r="G17" s="53">
        <f>'DOE25'!K250</f>
        <v>0</v>
      </c>
      <c r="H17" s="260"/>
    </row>
    <row r="18" spans="1:8" x14ac:dyDescent="0.2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 x14ac:dyDescent="0.2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796</v>
      </c>
      <c r="F21" s="261"/>
      <c r="G21" s="52"/>
      <c r="H21" s="262"/>
    </row>
    <row r="22" spans="1:8" x14ac:dyDescent="0.2">
      <c r="A22" s="32">
        <v>4000</v>
      </c>
      <c r="B22" t="s">
        <v>833</v>
      </c>
      <c r="C22" s="246">
        <f>SUM(D22:H22)</f>
        <v>138189.20000000001</v>
      </c>
      <c r="D22" s="244"/>
      <c r="E22" s="244"/>
      <c r="F22" s="256">
        <f>'DOE25'!L254+'DOE25'!L335</f>
        <v>138189.20000000001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464</v>
      </c>
      <c r="F24" s="261"/>
      <c r="G24" s="52"/>
      <c r="H24" s="262"/>
    </row>
    <row r="25" spans="1:8" x14ac:dyDescent="0.2">
      <c r="A25" s="32" t="s">
        <v>809</v>
      </c>
      <c r="B25" t="s">
        <v>810</v>
      </c>
      <c r="C25" s="246">
        <f>SUM(D25:H25)</f>
        <v>2259311.29</v>
      </c>
      <c r="D25" s="244"/>
      <c r="E25" s="244"/>
      <c r="F25" s="259"/>
      <c r="G25" s="257"/>
      <c r="H25" s="258">
        <f>'DOE25'!L259+'DOE25'!L260+'DOE25'!L340+'DOE25'!L341</f>
        <v>2259311.29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812</v>
      </c>
      <c r="F27" s="261"/>
      <c r="G27" s="52"/>
      <c r="H27" s="262"/>
    </row>
    <row r="28" spans="1:8" x14ac:dyDescent="0.2">
      <c r="A28" s="32">
        <v>3100</v>
      </c>
      <c r="B28" t="s">
        <v>825</v>
      </c>
      <c r="F28" s="261"/>
      <c r="G28" s="52"/>
      <c r="H28" s="262"/>
    </row>
    <row r="29" spans="1:8" x14ac:dyDescent="0.2">
      <c r="A29" s="32"/>
      <c r="B29" t="s">
        <v>813</v>
      </c>
      <c r="C29" s="246">
        <f>SUM(D29:H29)</f>
        <v>1260195.5499999993</v>
      </c>
      <c r="D29" s="20">
        <f>'DOE25'!L357+'DOE25'!L358+'DOE25'!L359-'DOE25'!I366-F29-G29</f>
        <v>1067798.1699999995</v>
      </c>
      <c r="E29" s="244"/>
      <c r="F29" s="256">
        <f>'DOE25'!J357+'DOE25'!J358+'DOE25'!J359</f>
        <v>192397.38</v>
      </c>
      <c r="G29" s="53">
        <f>'DOE25'!K357+'DOE25'!K358+'DOE25'!K359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827</v>
      </c>
      <c r="B31" t="s">
        <v>826</v>
      </c>
      <c r="C31" s="246">
        <f>SUM(D31:H31)</f>
        <v>4486047.0199999996</v>
      </c>
      <c r="D31" s="20">
        <f>'DOE25'!L289+'DOE25'!L308+'DOE25'!L327+'DOE25'!L332+'DOE25'!L333+'DOE25'!L334-F31-G31</f>
        <v>4207383.8</v>
      </c>
      <c r="E31" s="244"/>
      <c r="F31" s="256">
        <f>'DOE25'!J289+'DOE25'!J308+'DOE25'!J327+'DOE25'!J332+'DOE25'!J333+'DOE25'!J334</f>
        <v>200291.37</v>
      </c>
      <c r="G31" s="53">
        <f>'DOE25'!K289+'DOE25'!K308+'DOE25'!K327+'DOE25'!K332+'DOE25'!K333+'DOE25'!K334</f>
        <v>78371.850000000006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814</v>
      </c>
      <c r="D33" s="247">
        <f>SUM(D5:D31)</f>
        <v>53140009.330000006</v>
      </c>
      <c r="E33" s="247">
        <f>SUM(E5:E31)</f>
        <v>1848865.01</v>
      </c>
      <c r="F33" s="247">
        <f>SUM(F5:F31)</f>
        <v>1393720.6099999999</v>
      </c>
      <c r="G33" s="247">
        <f>SUM(G5:G31)</f>
        <v>250947.57</v>
      </c>
      <c r="H33" s="247">
        <f>SUM(H5:H31)</f>
        <v>2259311.29</v>
      </c>
    </row>
    <row r="35" spans="2:8" ht="12" thickBot="1" x14ac:dyDescent="0.25">
      <c r="B35" s="254" t="s">
        <v>847</v>
      </c>
      <c r="D35" s="255">
        <f>E33</f>
        <v>1848865.01</v>
      </c>
      <c r="E35" s="250"/>
    </row>
    <row r="36" spans="2:8" ht="12" thickTop="1" x14ac:dyDescent="0.2">
      <c r="B36" t="s">
        <v>815</v>
      </c>
      <c r="D36" s="20">
        <f>D33</f>
        <v>53140009.330000006</v>
      </c>
    </row>
    <row r="38" spans="2:8" x14ac:dyDescent="0.2">
      <c r="B38" s="187" t="s">
        <v>859</v>
      </c>
      <c r="C38" s="267"/>
      <c r="D38" s="268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5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3" sqref="A3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Rochester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0</v>
      </c>
      <c r="D8" s="95">
        <f>'DOE25'!G9</f>
        <v>0</v>
      </c>
      <c r="E8" s="95">
        <f>'DOE25'!H9</f>
        <v>0</v>
      </c>
      <c r="F8" s="95">
        <f>'DOE25'!I9</f>
        <v>111113.72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48498.6</v>
      </c>
      <c r="E11" s="95">
        <f>'DOE25'!H12</f>
        <v>819360.61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46537.48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13373.53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0</v>
      </c>
      <c r="D18" s="41">
        <f>SUM(D8:D17)</f>
        <v>108409.61</v>
      </c>
      <c r="E18" s="41">
        <f>SUM(E8:E17)</f>
        <v>819360.61</v>
      </c>
      <c r="F18" s="41">
        <f>SUM(F8:F17)</f>
        <v>111113.72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800785.46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800785.46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876</v>
      </c>
      <c r="B34" s="6">
        <v>751</v>
      </c>
      <c r="C34" s="95">
        <f>'DOE25'!F35</f>
        <v>0</v>
      </c>
      <c r="D34" s="95">
        <f>'DOE25'!G35</f>
        <v>13373.53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890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26626</v>
      </c>
      <c r="G44" s="95">
        <f>'DOE25'!J45</f>
        <v>0</v>
      </c>
      <c r="H44" s="124"/>
      <c r="I44" s="124"/>
    </row>
    <row r="45" spans="1:9" x14ac:dyDescent="0.2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892</v>
      </c>
      <c r="B46" s="6">
        <v>760</v>
      </c>
      <c r="C46" s="95">
        <f>'DOE25'!F47</f>
        <v>0</v>
      </c>
      <c r="D46" s="95">
        <f>'DOE25'!G47</f>
        <v>95036.08</v>
      </c>
      <c r="E46" s="95">
        <f>'DOE25'!H47</f>
        <v>18575.150000000001</v>
      </c>
      <c r="F46" s="95">
        <f>'DOE25'!I47</f>
        <v>84487.72</v>
      </c>
      <c r="G46" s="95">
        <f>'DOE25'!J47</f>
        <v>0</v>
      </c>
      <c r="H46" s="124"/>
      <c r="I46" s="124"/>
    </row>
    <row r="47" spans="1:9" x14ac:dyDescent="0.2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893</v>
      </c>
      <c r="B48" s="71">
        <v>770</v>
      </c>
      <c r="C48" s="95">
        <f>'DOE25'!F49</f>
        <v>0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894</v>
      </c>
      <c r="B49" s="48"/>
      <c r="C49" s="41">
        <f>SUM(C34:C48)</f>
        <v>0</v>
      </c>
      <c r="D49" s="41">
        <f>SUM(D34:D48)</f>
        <v>108409.61</v>
      </c>
      <c r="E49" s="41">
        <f>SUM(E34:E48)</f>
        <v>18575.150000000001</v>
      </c>
      <c r="F49" s="41">
        <f>SUM(F34:F48)</f>
        <v>111113.72</v>
      </c>
      <c r="G49" s="41">
        <f>SUM(G34:G48)</f>
        <v>0</v>
      </c>
      <c r="H49" s="124"/>
      <c r="I49" s="124"/>
    </row>
    <row r="50" spans="1:9" ht="12" thickTop="1" x14ac:dyDescent="0.2">
      <c r="A50" s="38" t="s">
        <v>895</v>
      </c>
      <c r="B50" s="2"/>
      <c r="C50" s="41">
        <f>C49+C31</f>
        <v>0</v>
      </c>
      <c r="D50" s="41">
        <f>D49+D31</f>
        <v>108409.61</v>
      </c>
      <c r="E50" s="41">
        <f>E49+E31</f>
        <v>819360.61</v>
      </c>
      <c r="F50" s="41">
        <f>F49+F31</f>
        <v>111113.72</v>
      </c>
      <c r="G50" s="41">
        <f>G49+G31</f>
        <v>0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22218116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2706097.0200000005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0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0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753392.79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145728.97</v>
      </c>
      <c r="D60" s="95">
        <f>SUM('DOE25'!G97:G109)</f>
        <v>26129.78</v>
      </c>
      <c r="E60" s="95">
        <f>SUM('DOE25'!H97:H109)</f>
        <v>1240</v>
      </c>
      <c r="F60" s="95">
        <f>SUM('DOE25'!I97:I109)</f>
        <v>111113.72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2851825.9900000007</v>
      </c>
      <c r="D61" s="130">
        <f>SUM(D56:D60)</f>
        <v>779522.57000000007</v>
      </c>
      <c r="E61" s="130">
        <f>SUM(E56:E60)</f>
        <v>1240</v>
      </c>
      <c r="F61" s="130">
        <f>SUM(F56:F60)</f>
        <v>111113.72</v>
      </c>
      <c r="G61" s="130">
        <f>SUM(G56:G60)</f>
        <v>0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25069941.990000002</v>
      </c>
      <c r="D62" s="22">
        <f>D55+D61</f>
        <v>779522.57000000007</v>
      </c>
      <c r="E62" s="22">
        <f>E55+E61</f>
        <v>1240</v>
      </c>
      <c r="F62" s="22">
        <f>F55+F61</f>
        <v>111113.72</v>
      </c>
      <c r="G62" s="22">
        <f>G55+G61</f>
        <v>0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851</v>
      </c>
      <c r="B65" s="6">
        <v>3111</v>
      </c>
      <c r="C65" s="95">
        <f>'DOE25'!F116</f>
        <v>22438667.379999999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5070310</v>
      </c>
      <c r="D66" s="24"/>
      <c r="E66" s="24"/>
      <c r="F66" s="24"/>
      <c r="G66" s="24"/>
      <c r="H66"/>
      <c r="I66"/>
    </row>
    <row r="67" spans="1:9" x14ac:dyDescent="0.2">
      <c r="A67" s="1" t="s">
        <v>852</v>
      </c>
      <c r="B67" s="6">
        <v>3119</v>
      </c>
      <c r="C67" s="95">
        <f>'DOE25'!F118</f>
        <v>19441.62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52422.38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27580841.379999999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898637.89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352946.14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85953.4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92126.18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1337537.43</v>
      </c>
      <c r="D77" s="130">
        <f>SUM(D71:D76)</f>
        <v>92126.18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28918378.809999999</v>
      </c>
      <c r="D80" s="130">
        <f>SUM(D78:D79)+D77+D69</f>
        <v>92126.18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219562.57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499969.55</v>
      </c>
      <c r="D87" s="95">
        <f>SUM('DOE25'!G152:G160)</f>
        <v>978193.46</v>
      </c>
      <c r="E87" s="95">
        <f>SUM('DOE25'!H152:H160)</f>
        <v>4456339.87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72651.45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792183.57</v>
      </c>
      <c r="D90" s="131">
        <f>SUM(D84:D89)</f>
        <v>978193.46</v>
      </c>
      <c r="E90" s="131">
        <f>SUM(E84:E89)</f>
        <v>4456339.87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54780504.369999997</v>
      </c>
      <c r="D103" s="86">
        <f>D62+D80+D90+D102</f>
        <v>1849842.21</v>
      </c>
      <c r="E103" s="86">
        <f>E62+E80+E90+E102</f>
        <v>4457579.87</v>
      </c>
      <c r="F103" s="86">
        <f>F62+F80+F90+F102</f>
        <v>111113.72</v>
      </c>
      <c r="G103" s="86">
        <f>G62+G80+G102</f>
        <v>0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20221341.619999997</v>
      </c>
      <c r="D108" s="24" t="s">
        <v>289</v>
      </c>
      <c r="E108" s="95">
        <f>('DOE25'!L275)+('DOE25'!L294)+('DOE25'!L313)</f>
        <v>651602.91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12013519.439999999</v>
      </c>
      <c r="D109" s="24" t="s">
        <v>289</v>
      </c>
      <c r="E109" s="95">
        <f>('DOE25'!L276)+('DOE25'!L295)+('DOE25'!L314)</f>
        <v>1827840.75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1838769.94</v>
      </c>
      <c r="D110" s="24" t="s">
        <v>289</v>
      </c>
      <c r="E110" s="95">
        <f>('DOE25'!L277)+('DOE25'!L296)+('DOE25'!L315)</f>
        <v>178285.47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569428.52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10101.1</v>
      </c>
      <c r="D113" s="24" t="s">
        <v>289</v>
      </c>
      <c r="E113" s="95">
        <f>+ SUM('DOE25'!L332:L334)</f>
        <v>17325.099999999999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34653160.619999997</v>
      </c>
      <c r="D114" s="86">
        <f>SUM(D108:D113)</f>
        <v>0</v>
      </c>
      <c r="E114" s="86">
        <f>SUM(E108:E113)</f>
        <v>2675054.2300000004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2148979.17</v>
      </c>
      <c r="D117" s="24" t="s">
        <v>289</v>
      </c>
      <c r="E117" s="95">
        <f>+('DOE25'!L280)+('DOE25'!L299)+('DOE25'!L318)</f>
        <v>960103.98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2396924.0099999998</v>
      </c>
      <c r="D118" s="24" t="s">
        <v>289</v>
      </c>
      <c r="E118" s="95">
        <f>+('DOE25'!L281)+('DOE25'!L300)+('DOE25'!L319)</f>
        <v>460962.54000000004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1887680.11</v>
      </c>
      <c r="D119" s="24" t="s">
        <v>289</v>
      </c>
      <c r="E119" s="95">
        <f>+('DOE25'!L282)+('DOE25'!L301)+('DOE25'!L320)</f>
        <v>272978.01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2991237.27</v>
      </c>
      <c r="D120" s="24" t="s">
        <v>289</v>
      </c>
      <c r="E120" s="95">
        <f>+('DOE25'!L283)+('DOE25'!L302)+('DOE25'!L321)</f>
        <v>39287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454534.76</v>
      </c>
      <c r="D121" s="24" t="s">
        <v>289</v>
      </c>
      <c r="E121" s="95">
        <f>+('DOE25'!L284)+('DOE25'!L303)+('DOE25'!L322)</f>
        <v>73414.850000000006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4367562.54</v>
      </c>
      <c r="D122" s="24" t="s">
        <v>289</v>
      </c>
      <c r="E122" s="95">
        <f>+('DOE25'!L285)+('DOE25'!L304)+('DOE25'!L323)</f>
        <v>4132.3599999999997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1839295.29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4336.9799999999996</v>
      </c>
      <c r="D124" s="24" t="s">
        <v>289</v>
      </c>
      <c r="E124" s="95">
        <f>+('DOE25'!L287)+('DOE25'!L306)+('DOE25'!L325)</f>
        <v>114.05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2055564.1999999997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16090550.129999999</v>
      </c>
      <c r="D127" s="86">
        <f>SUM(D117:D126)</f>
        <v>2055564.1999999997</v>
      </c>
      <c r="E127" s="86">
        <f>SUM(E117:E126)</f>
        <v>1810992.7900000003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138189.20000000001</v>
      </c>
      <c r="D129" s="24" t="s">
        <v>289</v>
      </c>
      <c r="E129" s="129">
        <f>'DOE25'!L335</f>
        <v>0</v>
      </c>
      <c r="F129" s="129">
        <f>SUM('DOE25'!L373:'DOE25'!L379)</f>
        <v>6998.49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1748918.18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510393.11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2397500.4899999998</v>
      </c>
      <c r="D143" s="141">
        <f>SUM(D129:D142)</f>
        <v>0</v>
      </c>
      <c r="E143" s="141">
        <f>SUM(E129:E142)</f>
        <v>0</v>
      </c>
      <c r="F143" s="141">
        <f>SUM(F129:F142)</f>
        <v>6998.49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53141211.240000002</v>
      </c>
      <c r="D144" s="86">
        <f>(D114+D127+D143)</f>
        <v>2055564.1999999997</v>
      </c>
      <c r="E144" s="86">
        <f>(E114+E127+E143)</f>
        <v>4486047.0200000005</v>
      </c>
      <c r="F144" s="86">
        <f>(F114+F127+F143)</f>
        <v>6998.49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 t="str">
        <f>'DOE25'!F489</f>
        <v>VARIES</v>
      </c>
      <c r="C150" s="153">
        <f>'DOE25'!G489</f>
        <v>20</v>
      </c>
      <c r="D150" s="153">
        <f>'DOE25'!H489</f>
        <v>20</v>
      </c>
      <c r="E150" s="153">
        <f>'DOE25'!I489</f>
        <v>20</v>
      </c>
      <c r="F150" s="153" t="str">
        <f>'DOE25'!J489</f>
        <v>VARIES</v>
      </c>
      <c r="G150" s="24" t="s">
        <v>289</v>
      </c>
    </row>
    <row r="151" spans="1:9" x14ac:dyDescent="0.2">
      <c r="A151" s="136" t="s">
        <v>28</v>
      </c>
      <c r="B151" s="152" t="str">
        <f>'DOE25'!F490</f>
        <v>VARIES</v>
      </c>
      <c r="C151" s="152" t="str">
        <f>'DOE25'!G490</f>
        <v>07/01/01</v>
      </c>
      <c r="D151" s="152" t="str">
        <f>'DOE25'!H490</f>
        <v>07/01/03</v>
      </c>
      <c r="E151" s="152" t="str">
        <f>'DOE25'!I490</f>
        <v>07/01/05</v>
      </c>
      <c r="F151" s="152" t="str">
        <f>'DOE25'!J490</f>
        <v>VARIES</v>
      </c>
      <c r="G151" s="24" t="s">
        <v>289</v>
      </c>
    </row>
    <row r="152" spans="1:9" x14ac:dyDescent="0.2">
      <c r="A152" s="136" t="s">
        <v>29</v>
      </c>
      <c r="B152" s="152" t="str">
        <f>'DOE25'!F491</f>
        <v>PRIOR TO 2020</v>
      </c>
      <c r="C152" s="152" t="str">
        <f>'DOE25'!G491</f>
        <v>07/01/21</v>
      </c>
      <c r="D152" s="152" t="str">
        <f>'DOE25'!H491</f>
        <v>07/01/23</v>
      </c>
      <c r="E152" s="152" t="str">
        <f>'DOE25'!I491</f>
        <v>07/01/25</v>
      </c>
      <c r="F152" s="152" t="str">
        <f>'DOE25'!J491</f>
        <v>BEYOND 2027</v>
      </c>
      <c r="G152" s="24" t="s">
        <v>289</v>
      </c>
    </row>
    <row r="153" spans="1:9" x14ac:dyDescent="0.2">
      <c r="A153" s="136" t="s">
        <v>30</v>
      </c>
      <c r="B153" s="137" t="str">
        <f>'DOE25'!F492</f>
        <v>VARIES</v>
      </c>
      <c r="C153" s="137">
        <f>'DOE25'!G492</f>
        <v>4704717</v>
      </c>
      <c r="D153" s="137">
        <f>'DOE25'!H492</f>
        <v>3237000</v>
      </c>
      <c r="E153" s="137">
        <f>'DOE25'!I492</f>
        <v>1539271.8900000001</v>
      </c>
      <c r="F153" s="137">
        <f>'DOE25'!J492</f>
        <v>2881294.17</v>
      </c>
      <c r="G153" s="24" t="s">
        <v>289</v>
      </c>
    </row>
    <row r="154" spans="1:9" x14ac:dyDescent="0.2">
      <c r="A154" s="136" t="s">
        <v>31</v>
      </c>
      <c r="B154" s="137" t="str">
        <f>'DOE25'!F493</f>
        <v>VARIES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6267218</v>
      </c>
      <c r="C155" s="137">
        <f>'DOE25'!G494</f>
        <v>1925377</v>
      </c>
      <c r="D155" s="137">
        <f>'DOE25'!H494</f>
        <v>1917000</v>
      </c>
      <c r="E155" s="137">
        <f>'DOE25'!I494</f>
        <v>960000</v>
      </c>
      <c r="F155" s="137">
        <f>'DOE25'!J494</f>
        <v>2300144</v>
      </c>
      <c r="G155" s="138">
        <f>SUM(B155:F155)</f>
        <v>13369739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160747</v>
      </c>
      <c r="F156" s="137">
        <f>'DOE25'!J495</f>
        <v>888303</v>
      </c>
      <c r="G156" s="138">
        <f t="shared" ref="G156:G163" si="0">SUM(B156:F156)</f>
        <v>1049050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5086758</v>
      </c>
      <c r="C158" s="137">
        <f>'DOE25'!G497</f>
        <v>1726212</v>
      </c>
      <c r="D158" s="137">
        <f>'DOE25'!H497</f>
        <v>1752000</v>
      </c>
      <c r="E158" s="137">
        <f>'DOE25'!I497</f>
        <v>1050747</v>
      </c>
      <c r="F158" s="137">
        <f>'DOE25'!J497</f>
        <v>3054155</v>
      </c>
      <c r="G158" s="138">
        <f t="shared" si="0"/>
        <v>12669872</v>
      </c>
    </row>
    <row r="159" spans="1:9" x14ac:dyDescent="0.2">
      <c r="A159" s="22" t="s">
        <v>36</v>
      </c>
      <c r="B159" s="137">
        <f>'DOE25'!F498</f>
        <v>580801</v>
      </c>
      <c r="C159" s="137">
        <f>'DOE25'!G498</f>
        <v>147354</v>
      </c>
      <c r="D159" s="137">
        <f>'DOE25'!H498</f>
        <v>438252</v>
      </c>
      <c r="E159" s="137">
        <f>'DOE25'!I498</f>
        <v>283115</v>
      </c>
      <c r="F159" s="137">
        <f>'DOE25'!J498</f>
        <v>1029049</v>
      </c>
      <c r="G159" s="138">
        <f t="shared" si="0"/>
        <v>2478571</v>
      </c>
    </row>
    <row r="160" spans="1:9" x14ac:dyDescent="0.2">
      <c r="A160" s="22" t="s">
        <v>37</v>
      </c>
      <c r="B160" s="137">
        <f>'DOE25'!F499</f>
        <v>5667559</v>
      </c>
      <c r="C160" s="137">
        <f>'DOE25'!G499</f>
        <v>1873566</v>
      </c>
      <c r="D160" s="137">
        <f>'DOE25'!H499</f>
        <v>2190252</v>
      </c>
      <c r="E160" s="137">
        <f>'DOE25'!I499</f>
        <v>1333862</v>
      </c>
      <c r="F160" s="137">
        <f>'DOE25'!J499</f>
        <v>4083204</v>
      </c>
      <c r="G160" s="138">
        <f t="shared" si="0"/>
        <v>15148443</v>
      </c>
    </row>
    <row r="161" spans="1:7" x14ac:dyDescent="0.2">
      <c r="A161" s="22" t="s">
        <v>38</v>
      </c>
      <c r="B161" s="137">
        <f>'DOE25'!F500</f>
        <v>1180460</v>
      </c>
      <c r="C161" s="137">
        <f>'DOE25'!G500</f>
        <v>198003</v>
      </c>
      <c r="D161" s="137">
        <f>'DOE25'!H500</f>
        <v>165000</v>
      </c>
      <c r="E161" s="137">
        <f>'DOE25'!I500</f>
        <v>85747</v>
      </c>
      <c r="F161" s="137">
        <f>'DOE25'!J500</f>
        <v>177596</v>
      </c>
      <c r="G161" s="138">
        <f t="shared" si="0"/>
        <v>1806806</v>
      </c>
    </row>
    <row r="162" spans="1:7" x14ac:dyDescent="0.2">
      <c r="A162" s="22" t="s">
        <v>39</v>
      </c>
      <c r="B162" s="137">
        <f>'DOE25'!F501</f>
        <v>212480</v>
      </c>
      <c r="C162" s="137">
        <f>'DOE25'!G501</f>
        <v>31634</v>
      </c>
      <c r="D162" s="137">
        <f>'DOE25'!H501</f>
        <v>75897</v>
      </c>
      <c r="E162" s="137">
        <f>'DOE25'!I501</f>
        <v>42002</v>
      </c>
      <c r="F162" s="137">
        <f>'DOE25'!J501</f>
        <v>108142</v>
      </c>
      <c r="G162" s="138">
        <f t="shared" si="0"/>
        <v>470155</v>
      </c>
    </row>
    <row r="163" spans="1:7" x14ac:dyDescent="0.2">
      <c r="A163" s="22" t="s">
        <v>246</v>
      </c>
      <c r="B163" s="137">
        <f>'DOE25'!F502</f>
        <v>1392940</v>
      </c>
      <c r="C163" s="137">
        <f>'DOE25'!G502</f>
        <v>229637</v>
      </c>
      <c r="D163" s="137">
        <f>'DOE25'!H502</f>
        <v>240897</v>
      </c>
      <c r="E163" s="137">
        <f>'DOE25'!I502</f>
        <v>127749</v>
      </c>
      <c r="F163" s="137">
        <f>'DOE25'!J502</f>
        <v>285738</v>
      </c>
      <c r="G163" s="138">
        <f t="shared" si="0"/>
        <v>2276961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740</v>
      </c>
      <c r="B1" s="279"/>
      <c r="C1" s="279"/>
      <c r="D1" s="279"/>
    </row>
    <row r="2" spans="1:4" x14ac:dyDescent="0.2">
      <c r="A2" s="187" t="s">
        <v>717</v>
      </c>
      <c r="B2" s="186" t="str">
        <f>'DOE25'!A2</f>
        <v>Rochester SD</v>
      </c>
    </row>
    <row r="3" spans="1:4" x14ac:dyDescent="0.2">
      <c r="B3" s="188" t="s">
        <v>862</v>
      </c>
    </row>
    <row r="4" spans="1:4" x14ac:dyDescent="0.2">
      <c r="B4" t="s">
        <v>61</v>
      </c>
      <c r="C4" s="179">
        <f>IF('DOE25'!F664+'DOE25'!F669=0,0,ROUND('DOE25'!F671,0))</f>
        <v>13170</v>
      </c>
    </row>
    <row r="5" spans="1:4" x14ac:dyDescent="0.2">
      <c r="B5" t="s">
        <v>704</v>
      </c>
      <c r="C5" s="179">
        <f>IF('DOE25'!G664+'DOE25'!G669=0,0,ROUND('DOE25'!G671,0))</f>
        <v>11573</v>
      </c>
    </row>
    <row r="6" spans="1:4" x14ac:dyDescent="0.2">
      <c r="B6" t="s">
        <v>62</v>
      </c>
      <c r="C6" s="179">
        <f>IF('DOE25'!H664+'DOE25'!H669=0,0,ROUND('DOE25'!H671,0))</f>
        <v>11485</v>
      </c>
    </row>
    <row r="7" spans="1:4" x14ac:dyDescent="0.2">
      <c r="B7" t="s">
        <v>705</v>
      </c>
      <c r="C7" s="179">
        <f>IF('DOE25'!I664+'DOE25'!I669=0,0,ROUND('DOE25'!I671,0))</f>
        <v>12250</v>
      </c>
    </row>
    <row r="9" spans="1:4" x14ac:dyDescent="0.2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20872945</v>
      </c>
      <c r="D10" s="182">
        <f>ROUND((C10/$C$28)*100,1)</f>
        <v>36.6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13841360</v>
      </c>
      <c r="D11" s="182">
        <f>ROUND((C11/$C$28)*100,1)</f>
        <v>24.3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2017055</v>
      </c>
      <c r="D12" s="182">
        <f>ROUND((C12/$C$28)*100,1)</f>
        <v>3.5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569429</v>
      </c>
      <c r="D13" s="182">
        <f>ROUND((C13/$C$28)*100,1)</f>
        <v>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3109083</v>
      </c>
      <c r="D15" s="182">
        <f t="shared" ref="D15:D27" si="0">ROUND((C15/$C$28)*100,1)</f>
        <v>5.5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2857887</v>
      </c>
      <c r="D16" s="182">
        <f t="shared" si="0"/>
        <v>5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2165109</v>
      </c>
      <c r="D17" s="182">
        <f t="shared" si="0"/>
        <v>3.8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3030524</v>
      </c>
      <c r="D18" s="182">
        <f t="shared" si="0"/>
        <v>5.3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527950</v>
      </c>
      <c r="D19" s="182">
        <f t="shared" si="0"/>
        <v>0.9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4371695</v>
      </c>
      <c r="D20" s="182">
        <f t="shared" si="0"/>
        <v>7.7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1839295</v>
      </c>
      <c r="D21" s="182">
        <f t="shared" si="0"/>
        <v>3.2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27426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510393</v>
      </c>
      <c r="D25" s="182">
        <f t="shared" si="0"/>
        <v>0.9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1276041.43</v>
      </c>
      <c r="D27" s="182">
        <f t="shared" si="0"/>
        <v>2.2000000000000002</v>
      </c>
    </row>
    <row r="28" spans="1:4" x14ac:dyDescent="0.2">
      <c r="B28" s="187" t="s">
        <v>723</v>
      </c>
      <c r="C28" s="180">
        <f>SUM(C10:C27)</f>
        <v>57016192.43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145188</v>
      </c>
    </row>
    <row r="30" spans="1:4" x14ac:dyDescent="0.2">
      <c r="B30" s="187" t="s">
        <v>729</v>
      </c>
      <c r="C30" s="180">
        <f>SUM(C28:C29)</f>
        <v>57161380.43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1748918</v>
      </c>
    </row>
    <row r="34" spans="1:4" x14ac:dyDescent="0.2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22218116</v>
      </c>
      <c r="D35" s="182">
        <f t="shared" ref="D35:D40" si="1">ROUND((C35/$C$41)*100,1)</f>
        <v>36.799999999999997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2964179.7099999972</v>
      </c>
      <c r="D36" s="182">
        <f t="shared" si="1"/>
        <v>4.9000000000000004</v>
      </c>
    </row>
    <row r="37" spans="1:4" x14ac:dyDescent="0.2">
      <c r="A37" s="183" t="s">
        <v>853</v>
      </c>
      <c r="B37" s="185" t="s">
        <v>732</v>
      </c>
      <c r="C37" s="179">
        <f>ROUND('DOE25'!F116+'DOE25'!F117+'DOE25'!F118,0)</f>
        <v>27528419</v>
      </c>
      <c r="D37" s="182">
        <f t="shared" si="1"/>
        <v>45.6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1482086</v>
      </c>
      <c r="D38" s="182">
        <f t="shared" si="1"/>
        <v>2.5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6226717</v>
      </c>
      <c r="D39" s="182">
        <f t="shared" si="1"/>
        <v>10.3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60419517.709999993</v>
      </c>
      <c r="D41" s="184">
        <f>SUM(D35:D40)</f>
        <v>100.1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F2" sqref="F2:I2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4" t="s">
        <v>770</v>
      </c>
      <c r="B1" s="285"/>
      <c r="C1" s="285"/>
      <c r="D1" s="285"/>
      <c r="E1" s="285"/>
      <c r="F1" s="285"/>
      <c r="G1" s="285"/>
      <c r="H1" s="285"/>
      <c r="I1" s="285"/>
      <c r="J1" s="214"/>
      <c r="K1" s="214"/>
      <c r="L1" s="214"/>
      <c r="M1" s="215"/>
    </row>
    <row r="2" spans="1:26" ht="12.75" x14ac:dyDescent="0.2">
      <c r="A2" s="292" t="s">
        <v>767</v>
      </c>
      <c r="B2" s="293"/>
      <c r="C2" s="293"/>
      <c r="D2" s="293"/>
      <c r="E2" s="293"/>
      <c r="F2" s="288" t="str">
        <f>'DOE25'!A2</f>
        <v>Rochester SD</v>
      </c>
      <c r="G2" s="289"/>
      <c r="H2" s="289"/>
      <c r="I2" s="289"/>
      <c r="J2" s="52"/>
      <c r="K2" s="52"/>
      <c r="L2" s="52"/>
      <c r="M2" s="216"/>
    </row>
    <row r="3" spans="1:26" x14ac:dyDescent="0.2">
      <c r="A3" s="217" t="s">
        <v>768</v>
      </c>
      <c r="B3" s="218" t="s">
        <v>769</v>
      </c>
      <c r="C3" s="286" t="s">
        <v>771</v>
      </c>
      <c r="D3" s="286"/>
      <c r="E3" s="286"/>
      <c r="F3" s="286"/>
      <c r="G3" s="286"/>
      <c r="H3" s="286"/>
      <c r="I3" s="286"/>
      <c r="J3" s="286"/>
      <c r="K3" s="286"/>
      <c r="L3" s="286"/>
      <c r="M3" s="287"/>
    </row>
    <row r="4" spans="1:26" x14ac:dyDescent="0.2">
      <c r="A4" s="219">
        <v>19</v>
      </c>
      <c r="B4" s="220" t="s">
        <v>918</v>
      </c>
      <c r="C4" s="280" t="s">
        <v>922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 t="s">
        <v>919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>
        <v>19</v>
      </c>
      <c r="B7" s="220" t="s">
        <v>920</v>
      </c>
      <c r="C7" s="280" t="s">
        <v>924</v>
      </c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>
        <v>19</v>
      </c>
      <c r="B8" s="220" t="s">
        <v>921</v>
      </c>
      <c r="C8" s="280" t="s">
        <v>923</v>
      </c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0"/>
      <c r="Q32" s="290"/>
      <c r="R32" s="290"/>
      <c r="S32" s="290"/>
      <c r="T32" s="290"/>
      <c r="U32" s="290"/>
      <c r="V32" s="290"/>
      <c r="W32" s="290"/>
      <c r="X32" s="290"/>
      <c r="Y32" s="290"/>
      <c r="Z32" s="291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5"/>
      <c r="D70" s="295"/>
      <c r="E70" s="295"/>
      <c r="F70" s="295"/>
      <c r="G70" s="295"/>
      <c r="H70" s="295"/>
      <c r="I70" s="295"/>
      <c r="J70" s="295"/>
      <c r="K70" s="295"/>
      <c r="L70" s="295"/>
      <c r="M70" s="29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7" t="s">
        <v>848</v>
      </c>
      <c r="B72" s="297"/>
      <c r="C72" s="297"/>
      <c r="D72" s="297"/>
      <c r="E72" s="29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768</v>
      </c>
      <c r="B73" s="211" t="s">
        <v>769</v>
      </c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</row>
    <row r="74" spans="1:13" x14ac:dyDescent="0.2">
      <c r="A74" s="212"/>
      <c r="B74" s="212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</row>
    <row r="75" spans="1:13" x14ac:dyDescent="0.2">
      <c r="A75" s="212"/>
      <c r="B75" s="212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</row>
    <row r="76" spans="1:13" x14ac:dyDescent="0.2">
      <c r="A76" s="212"/>
      <c r="B76" s="212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</row>
    <row r="77" spans="1:13" x14ac:dyDescent="0.2">
      <c r="A77" s="212"/>
      <c r="B77" s="212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</row>
    <row r="78" spans="1:13" x14ac:dyDescent="0.2">
      <c r="A78" s="212"/>
      <c r="B78" s="212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</row>
    <row r="79" spans="1:13" x14ac:dyDescent="0.2">
      <c r="A79" s="212"/>
      <c r="B79" s="212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</row>
    <row r="80" spans="1:13" x14ac:dyDescent="0.2">
      <c r="A80" s="212"/>
      <c r="B80" s="212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</row>
    <row r="81" spans="1:13" x14ac:dyDescent="0.2">
      <c r="A81" s="212"/>
      <c r="B81" s="212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</row>
    <row r="82" spans="1:13" x14ac:dyDescent="0.2">
      <c r="A82" s="212"/>
      <c r="B82" s="212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</row>
    <row r="83" spans="1:13" x14ac:dyDescent="0.2">
      <c r="A83" s="212"/>
      <c r="B83" s="212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</row>
    <row r="84" spans="1:13" x14ac:dyDescent="0.2">
      <c r="A84" s="212"/>
      <c r="B84" s="212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</row>
    <row r="85" spans="1:13" x14ac:dyDescent="0.2">
      <c r="A85" s="212"/>
      <c r="B85" s="212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</row>
    <row r="86" spans="1:13" x14ac:dyDescent="0.2">
      <c r="A86" s="212"/>
      <c r="B86" s="212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</row>
    <row r="87" spans="1:13" x14ac:dyDescent="0.2">
      <c r="A87" s="212"/>
      <c r="B87" s="212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</row>
    <row r="88" spans="1:13" x14ac:dyDescent="0.2">
      <c r="A88" s="212"/>
      <c r="B88" s="212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</row>
    <row r="89" spans="1:13" x14ac:dyDescent="0.2">
      <c r="A89" s="212"/>
      <c r="B89" s="212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</row>
    <row r="90" spans="1:13" x14ac:dyDescent="0.2">
      <c r="A90" s="212"/>
      <c r="B90" s="212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</row>
  </sheetData>
  <sheetProtection password="BF0A" sheet="1" objects="1" scenarios="1"/>
  <mergeCells count="223"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  <mergeCell ref="C87:M87"/>
    <mergeCell ref="C88:M88"/>
    <mergeCell ref="C89:M89"/>
    <mergeCell ref="C90:M90"/>
    <mergeCell ref="C83:M83"/>
    <mergeCell ref="C84:M84"/>
    <mergeCell ref="C85:M85"/>
    <mergeCell ref="C86:M86"/>
    <mergeCell ref="C79:M79"/>
    <mergeCell ref="C80:M80"/>
    <mergeCell ref="C81:M81"/>
    <mergeCell ref="C82:M82"/>
    <mergeCell ref="C75:M75"/>
    <mergeCell ref="C76:M76"/>
    <mergeCell ref="C77:M77"/>
    <mergeCell ref="C78:M78"/>
    <mergeCell ref="C70:M70"/>
    <mergeCell ref="A72:E72"/>
    <mergeCell ref="C73:M73"/>
    <mergeCell ref="C74:M74"/>
    <mergeCell ref="C66:M66"/>
    <mergeCell ref="C67:M67"/>
    <mergeCell ref="C68:M68"/>
    <mergeCell ref="C69:M69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19:M19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A1:I1"/>
    <mergeCell ref="C3:M3"/>
    <mergeCell ref="C4:M4"/>
    <mergeCell ref="F2:I2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C9:M9"/>
    <mergeCell ref="C10:M10"/>
    <mergeCell ref="C11:M11"/>
    <mergeCell ref="C12:M12"/>
    <mergeCell ref="C5:M5"/>
    <mergeCell ref="C6:M6"/>
    <mergeCell ref="C7:M7"/>
    <mergeCell ref="C8:M8"/>
    <mergeCell ref="A2:E2"/>
    <mergeCell ref="C20:M20"/>
    <mergeCell ref="BC29:BM29"/>
    <mergeCell ref="BP29:BZ29"/>
    <mergeCell ref="CC29:CM29"/>
    <mergeCell ref="CP29:CZ29"/>
    <mergeCell ref="DC29:DM29"/>
    <mergeCell ref="DP29:DZ29"/>
    <mergeCell ref="EC29:EM29"/>
    <mergeCell ref="EP29:EZ29"/>
    <mergeCell ref="FC29:FM29"/>
    <mergeCell ref="FP29:FZ29"/>
    <mergeCell ref="GC29:GM29"/>
    <mergeCell ref="GP29:GZ29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CC30:CM30"/>
    <mergeCell ref="CP30:CZ30"/>
    <mergeCell ref="DC30:DM30"/>
    <mergeCell ref="DP30:DZ30"/>
    <mergeCell ref="EC30:EM30"/>
    <mergeCell ref="EP30:EZ30"/>
    <mergeCell ref="FC30:FM30"/>
    <mergeCell ref="FP30:FZ30"/>
    <mergeCell ref="GC30:GM30"/>
    <mergeCell ref="GP30:GZ30"/>
    <mergeCell ref="HC30:HM30"/>
    <mergeCell ref="HP30:H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DP31:DZ31"/>
    <mergeCell ref="EC31:EM31"/>
    <mergeCell ref="EP31:EZ31"/>
    <mergeCell ref="FC31:FM31"/>
    <mergeCell ref="FP31:FZ31"/>
    <mergeCell ref="GC31:GM31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AC32:AM32"/>
    <mergeCell ref="AP32:AZ32"/>
    <mergeCell ref="P38:Z38"/>
    <mergeCell ref="AC38:AM38"/>
    <mergeCell ref="AP38:AZ38"/>
    <mergeCell ref="GP32:GZ32"/>
    <mergeCell ref="BP38:BZ38"/>
    <mergeCell ref="CC38:CM38"/>
    <mergeCell ref="CC32:CM32"/>
    <mergeCell ref="CP38:CZ38"/>
    <mergeCell ref="HC32:HM32"/>
    <mergeCell ref="DC32:DM32"/>
    <mergeCell ref="DP32:DZ32"/>
    <mergeCell ref="EC32:EM32"/>
    <mergeCell ref="EP32:EZ32"/>
    <mergeCell ref="FP32:FZ32"/>
    <mergeCell ref="GC32:GM32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HP38:HZ38"/>
    <mergeCell ref="IC38:IM38"/>
    <mergeCell ref="IP38:IV38"/>
    <mergeCell ref="EP40:EZ40"/>
    <mergeCell ref="CC39:CM39"/>
    <mergeCell ref="CP39:CZ39"/>
    <mergeCell ref="IP39:IV39"/>
    <mergeCell ref="EP39:EZ39"/>
    <mergeCell ref="FC39:FM39"/>
    <mergeCell ref="FP39:FZ39"/>
    <mergeCell ref="GP39:GZ39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GC39:GM39"/>
    <mergeCell ref="BP39:BZ39"/>
    <mergeCell ref="C56:M56"/>
    <mergeCell ref="C57:M57"/>
    <mergeCell ref="C59:M59"/>
    <mergeCell ref="C60:M60"/>
    <mergeCell ref="C58:M58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C43:M43"/>
    <mergeCell ref="BC40:BM40"/>
    <mergeCell ref="BP40:BZ40"/>
    <mergeCell ref="FC40:FM40"/>
    <mergeCell ref="FP40:FZ40"/>
    <mergeCell ref="CC40:CM40"/>
    <mergeCell ref="CP40:CZ40"/>
    <mergeCell ref="DC40:DM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2012-08-20T17:50:53Z</cp:lastPrinted>
  <dcterms:created xsi:type="dcterms:W3CDTF">1997-12-04T19:04:30Z</dcterms:created>
  <dcterms:modified xsi:type="dcterms:W3CDTF">2012-11-21T15:22:55Z</dcterms:modified>
</cp:coreProperties>
</file>