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" i="1" l="1"/>
  <c r="F464" i="1" l="1"/>
  <c r="C20" i="12" l="1"/>
  <c r="B20" i="12"/>
  <c r="C37" i="12"/>
  <c r="C19" i="12"/>
  <c r="B19" i="12"/>
  <c r="C12" i="12"/>
  <c r="B10" i="12"/>
  <c r="B11" i="12"/>
  <c r="C10" i="12"/>
  <c r="C11" i="12"/>
  <c r="I276" i="1"/>
  <c r="G276" i="1"/>
  <c r="F275" i="1"/>
  <c r="H154" i="1"/>
  <c r="H22" i="1"/>
  <c r="G157" i="1"/>
  <c r="F367" i="1" l="1"/>
  <c r="G96" i="1"/>
  <c r="G36" i="1"/>
  <c r="J95" i="1" l="1"/>
  <c r="F458" i="1"/>
  <c r="F439" i="1"/>
  <c r="F13" i="1" l="1"/>
  <c r="H542" i="1"/>
  <c r="H541" i="1"/>
  <c r="H540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G31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C32" i="10" s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2" i="10"/>
  <c r="C13" i="10"/>
  <c r="C15" i="10"/>
  <c r="C16" i="10"/>
  <c r="C17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L246" i="1"/>
  <c r="G660" i="1"/>
  <c r="F661" i="1"/>
  <c r="G661" i="1"/>
  <c r="H661" i="1"/>
  <c r="I668" i="1"/>
  <c r="C6" i="10"/>
  <c r="C5" i="10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C110" i="2"/>
  <c r="E110" i="2"/>
  <c r="E111" i="2"/>
  <c r="C112" i="2"/>
  <c r="E112" i="2"/>
  <c r="C113" i="2"/>
  <c r="E113" i="2"/>
  <c r="D114" i="2"/>
  <c r="F114" i="2"/>
  <c r="G114" i="2"/>
  <c r="C117" i="2"/>
  <c r="E117" i="2"/>
  <c r="E118" i="2"/>
  <c r="E119" i="2"/>
  <c r="C120" i="2"/>
  <c r="E120" i="2"/>
  <c r="C121" i="2"/>
  <c r="E121" i="2"/>
  <c r="C122" i="2"/>
  <c r="E122" i="2"/>
  <c r="C123" i="2"/>
  <c r="E123" i="2"/>
  <c r="C124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G618" i="1" s="1"/>
  <c r="I19" i="1"/>
  <c r="G619" i="1" s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G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H433" i="1" s="1"/>
  <c r="I432" i="1"/>
  <c r="J432" i="1"/>
  <c r="F445" i="1"/>
  <c r="G445" i="1"/>
  <c r="H445" i="1"/>
  <c r="I445" i="1"/>
  <c r="F451" i="1"/>
  <c r="G451" i="1"/>
  <c r="H451" i="1"/>
  <c r="I451" i="1"/>
  <c r="F459" i="1"/>
  <c r="F460" i="1" s="1"/>
  <c r="H638" i="1" s="1"/>
  <c r="G459" i="1"/>
  <c r="H459" i="1"/>
  <c r="G460" i="1"/>
  <c r="H460" i="1"/>
  <c r="I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I604" i="1"/>
  <c r="J604" i="1"/>
  <c r="F613" i="1"/>
  <c r="G613" i="1"/>
  <c r="H613" i="1"/>
  <c r="I613" i="1"/>
  <c r="J613" i="1"/>
  <c r="K613" i="1"/>
  <c r="L613" i="1"/>
  <c r="G616" i="1"/>
  <c r="G617" i="1"/>
  <c r="G622" i="1"/>
  <c r="G623" i="1"/>
  <c r="G624" i="1"/>
  <c r="G633" i="1"/>
  <c r="H633" i="1"/>
  <c r="H635" i="1"/>
  <c r="G638" i="1"/>
  <c r="G639" i="1"/>
  <c r="H639" i="1"/>
  <c r="G640" i="1"/>
  <c r="H640" i="1"/>
  <c r="G641" i="1"/>
  <c r="G642" i="1"/>
  <c r="G643" i="1"/>
  <c r="G644" i="1"/>
  <c r="H644" i="1"/>
  <c r="H646" i="1"/>
  <c r="G648" i="1"/>
  <c r="G649" i="1"/>
  <c r="H649" i="1"/>
  <c r="G650" i="1"/>
  <c r="G651" i="1"/>
  <c r="H651" i="1"/>
  <c r="G652" i="1"/>
  <c r="H652" i="1"/>
  <c r="G653" i="1"/>
  <c r="H653" i="1"/>
  <c r="J653" i="1" s="1"/>
  <c r="H654" i="1"/>
  <c r="J351" i="1"/>
  <c r="F191" i="1"/>
  <c r="L255" i="1"/>
  <c r="G163" i="2"/>
  <c r="G159" i="2"/>
  <c r="C18" i="2"/>
  <c r="F31" i="2"/>
  <c r="C26" i="10"/>
  <c r="L327" i="1"/>
  <c r="H659" i="1" s="1"/>
  <c r="L350" i="1"/>
  <c r="I661" i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F102" i="2"/>
  <c r="D18" i="2"/>
  <c r="D17" i="13"/>
  <c r="C17" i="13" s="1"/>
  <c r="G158" i="2"/>
  <c r="C90" i="2"/>
  <c r="G80" i="2"/>
  <c r="F77" i="2"/>
  <c r="F80" i="2" s="1"/>
  <c r="F61" i="2"/>
  <c r="F62" i="2" s="1"/>
  <c r="D31" i="2"/>
  <c r="C77" i="2"/>
  <c r="D49" i="2"/>
  <c r="G156" i="2"/>
  <c r="F49" i="2"/>
  <c r="F50" i="2" s="1"/>
  <c r="G162" i="2"/>
  <c r="G160" i="2"/>
  <c r="G157" i="2"/>
  <c r="G155" i="2"/>
  <c r="E143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H603" i="1" l="1"/>
  <c r="L406" i="1"/>
  <c r="C139" i="2" s="1"/>
  <c r="C27" i="10"/>
  <c r="G471" i="1"/>
  <c r="H660" i="1"/>
  <c r="D6" i="13"/>
  <c r="C6" i="13" s="1"/>
  <c r="C119" i="2"/>
  <c r="F407" i="1"/>
  <c r="H642" i="1" s="1"/>
  <c r="K256" i="1"/>
  <c r="K270" i="1" s="1"/>
  <c r="I256" i="1"/>
  <c r="I270" i="1" s="1"/>
  <c r="G256" i="1"/>
  <c r="G270" i="1" s="1"/>
  <c r="E109" i="2"/>
  <c r="E114" i="2" s="1"/>
  <c r="C118" i="2"/>
  <c r="C111" i="2"/>
  <c r="L289" i="1"/>
  <c r="J618" i="1"/>
  <c r="D126" i="2"/>
  <c r="D127" i="2" s="1"/>
  <c r="H663" i="1"/>
  <c r="H666" i="1" s="1"/>
  <c r="G634" i="1"/>
  <c r="H407" i="1"/>
  <c r="H643" i="1" s="1"/>
  <c r="J616" i="1"/>
  <c r="G621" i="1"/>
  <c r="F662" i="1"/>
  <c r="I662" i="1" s="1"/>
  <c r="G168" i="1"/>
  <c r="I139" i="1"/>
  <c r="G139" i="1"/>
  <c r="F139" i="1"/>
  <c r="D50" i="2"/>
  <c r="J619" i="1"/>
  <c r="F18" i="2"/>
  <c r="E18" i="2"/>
  <c r="D102" i="2"/>
  <c r="J652" i="1"/>
  <c r="J651" i="1"/>
  <c r="I191" i="1"/>
  <c r="G570" i="1"/>
  <c r="L528" i="1"/>
  <c r="I459" i="1"/>
  <c r="I460" i="1" s="1"/>
  <c r="H641" i="1" s="1"/>
  <c r="J641" i="1" s="1"/>
  <c r="J433" i="1"/>
  <c r="F433" i="1"/>
  <c r="I433" i="1"/>
  <c r="G433" i="1"/>
  <c r="K433" i="1"/>
  <c r="G133" i="2" s="1"/>
  <c r="G143" i="2" s="1"/>
  <c r="G144" i="2" s="1"/>
  <c r="L381" i="1"/>
  <c r="G635" i="1" s="1"/>
  <c r="F660" i="1"/>
  <c r="I660" i="1" s="1"/>
  <c r="F31" i="13"/>
  <c r="I337" i="1"/>
  <c r="I351" i="1" s="1"/>
  <c r="C18" i="10"/>
  <c r="C114" i="2"/>
  <c r="J649" i="1"/>
  <c r="E8" i="13"/>
  <c r="C8" i="13" s="1"/>
  <c r="D7" i="13"/>
  <c r="C7" i="13" s="1"/>
  <c r="C127" i="2"/>
  <c r="J648" i="1"/>
  <c r="C11" i="10"/>
  <c r="L210" i="1"/>
  <c r="F659" i="1" s="1"/>
  <c r="A22" i="12"/>
  <c r="F256" i="1"/>
  <c r="F270" i="1" s="1"/>
  <c r="G33" i="13"/>
  <c r="C80" i="2"/>
  <c r="C103" i="2" s="1"/>
  <c r="E77" i="2"/>
  <c r="E80" i="2" s="1"/>
  <c r="E103" i="2" s="1"/>
  <c r="F103" i="2"/>
  <c r="L426" i="1"/>
  <c r="J256" i="1"/>
  <c r="H647" i="1" s="1"/>
  <c r="H111" i="1"/>
  <c r="F111" i="1"/>
  <c r="J640" i="1"/>
  <c r="J638" i="1"/>
  <c r="J570" i="1"/>
  <c r="K570" i="1"/>
  <c r="L432" i="1"/>
  <c r="L418" i="1"/>
  <c r="D80" i="2"/>
  <c r="I168" i="1"/>
  <c r="H168" i="1"/>
  <c r="J270" i="1"/>
  <c r="G551" i="1"/>
  <c r="E50" i="2"/>
  <c r="J643" i="1"/>
  <c r="J642" i="1"/>
  <c r="G337" i="1"/>
  <c r="G351" i="1" s="1"/>
  <c r="D144" i="2"/>
  <c r="C23" i="10"/>
  <c r="F168" i="1"/>
  <c r="F192" i="1" s="1"/>
  <c r="J139" i="1"/>
  <c r="D103" i="2"/>
  <c r="F570" i="1"/>
  <c r="H256" i="1"/>
  <c r="H270" i="1" s="1"/>
  <c r="G62" i="2"/>
  <c r="G103" i="2" s="1"/>
  <c r="G12" i="2"/>
  <c r="G18" i="2" s="1"/>
  <c r="J19" i="1"/>
  <c r="G620" i="1" s="1"/>
  <c r="I551" i="1"/>
  <c r="K549" i="1"/>
  <c r="G22" i="2"/>
  <c r="G31" i="2" s="1"/>
  <c r="J32" i="1"/>
  <c r="K597" i="1"/>
  <c r="G646" i="1" s="1"/>
  <c r="J646" i="1" s="1"/>
  <c r="K544" i="1"/>
  <c r="J617" i="1"/>
  <c r="J551" i="1"/>
  <c r="C29" i="10"/>
  <c r="H139" i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E127" i="2"/>
  <c r="E144" i="2" s="1"/>
  <c r="F551" i="1"/>
  <c r="C35" i="10"/>
  <c r="L308" i="1"/>
  <c r="D5" i="13"/>
  <c r="E16" i="13"/>
  <c r="C49" i="2"/>
  <c r="C50" i="2" s="1"/>
  <c r="J654" i="1"/>
  <c r="J644" i="1"/>
  <c r="J192" i="1"/>
  <c r="J467" i="1" s="1"/>
  <c r="L569" i="1"/>
  <c r="I570" i="1"/>
  <c r="I544" i="1"/>
  <c r="J635" i="1"/>
  <c r="G36" i="2"/>
  <c r="G49" i="2" s="1"/>
  <c r="J50" i="1"/>
  <c r="L564" i="1"/>
  <c r="L570" i="1" s="1"/>
  <c r="H544" i="1"/>
  <c r="K550" i="1"/>
  <c r="F143" i="2"/>
  <c r="F144" i="2" s="1"/>
  <c r="H634" i="1" l="1"/>
  <c r="G473" i="1"/>
  <c r="J634" i="1"/>
  <c r="H604" i="1"/>
  <c r="K603" i="1"/>
  <c r="K604" i="1" s="1"/>
  <c r="G647" i="1" s="1"/>
  <c r="H671" i="1"/>
  <c r="H630" i="1"/>
  <c r="J469" i="1"/>
  <c r="H636" i="1"/>
  <c r="G192" i="1"/>
  <c r="I192" i="1"/>
  <c r="H192" i="1"/>
  <c r="C38" i="10"/>
  <c r="C36" i="10"/>
  <c r="G626" i="1"/>
  <c r="F467" i="1"/>
  <c r="C39" i="10"/>
  <c r="G50" i="2"/>
  <c r="L433" i="1"/>
  <c r="F663" i="1"/>
  <c r="F671" i="1" s="1"/>
  <c r="C4" i="10" s="1"/>
  <c r="C28" i="10"/>
  <c r="D25" i="10" s="1"/>
  <c r="J647" i="1"/>
  <c r="L256" i="1"/>
  <c r="L270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C25" i="13"/>
  <c r="H33" i="13"/>
  <c r="G630" i="1"/>
  <c r="J630" i="1" s="1"/>
  <c r="G645" i="1"/>
  <c r="G625" i="1"/>
  <c r="J51" i="1"/>
  <c r="H620" i="1" s="1"/>
  <c r="J620" i="1" s="1"/>
  <c r="G629" i="1" l="1"/>
  <c r="I467" i="1"/>
  <c r="G632" i="1"/>
  <c r="H471" i="1"/>
  <c r="G628" i="1"/>
  <c r="H467" i="1"/>
  <c r="G627" i="1"/>
  <c r="G467" i="1"/>
  <c r="G637" i="1"/>
  <c r="J471" i="1"/>
  <c r="C41" i="10"/>
  <c r="D39" i="10" s="1"/>
  <c r="F469" i="1"/>
  <c r="H626" i="1"/>
  <c r="J626" i="1" s="1"/>
  <c r="F666" i="1"/>
  <c r="D21" i="10"/>
  <c r="C30" i="10"/>
  <c r="D16" i="10"/>
  <c r="D23" i="10"/>
  <c r="D12" i="10"/>
  <c r="D19" i="10"/>
  <c r="D11" i="10"/>
  <c r="D24" i="10"/>
  <c r="D10" i="10"/>
  <c r="D20" i="10"/>
  <c r="D13" i="10"/>
  <c r="D18" i="10"/>
  <c r="D26" i="10"/>
  <c r="D17" i="10"/>
  <c r="D15" i="10"/>
  <c r="D27" i="10"/>
  <c r="D22" i="10"/>
  <c r="F471" i="1"/>
  <c r="G631" i="1"/>
  <c r="G636" i="1"/>
  <c r="J636" i="1" s="1"/>
  <c r="H645" i="1"/>
  <c r="J645" i="1" s="1"/>
  <c r="D33" i="13"/>
  <c r="D36" i="13" s="1"/>
  <c r="G663" i="1"/>
  <c r="I659" i="1"/>
  <c r="I663" i="1" s="1"/>
  <c r="I469" i="1" l="1"/>
  <c r="I475" i="1" s="1"/>
  <c r="H624" i="1" s="1"/>
  <c r="J624" i="1" s="1"/>
  <c r="H629" i="1"/>
  <c r="J629" i="1"/>
  <c r="H473" i="1"/>
  <c r="H632" i="1"/>
  <c r="J632" i="1" s="1"/>
  <c r="H469" i="1"/>
  <c r="H475" i="1" s="1"/>
  <c r="H623" i="1" s="1"/>
  <c r="J623" i="1" s="1"/>
  <c r="H628" i="1"/>
  <c r="J628" i="1" s="1"/>
  <c r="G469" i="1"/>
  <c r="G475" i="1" s="1"/>
  <c r="H622" i="1" s="1"/>
  <c r="J622" i="1" s="1"/>
  <c r="H627" i="1"/>
  <c r="J627" i="1" s="1"/>
  <c r="J473" i="1"/>
  <c r="J475" i="1" s="1"/>
  <c r="H625" i="1" s="1"/>
  <c r="J625" i="1" s="1"/>
  <c r="H637" i="1"/>
  <c r="J637" i="1" s="1"/>
  <c r="D36" i="10"/>
  <c r="D35" i="10"/>
  <c r="D38" i="10"/>
  <c r="D40" i="10"/>
  <c r="D37" i="10"/>
  <c r="D28" i="10"/>
  <c r="F473" i="1"/>
  <c r="F475" i="1" s="1"/>
  <c r="H621" i="1" s="1"/>
  <c r="H631" i="1"/>
  <c r="J631" i="1" s="1"/>
  <c r="I666" i="1"/>
  <c r="I671" i="1"/>
  <c r="C7" i="10" s="1"/>
  <c r="G671" i="1"/>
  <c r="G666" i="1"/>
  <c r="D41" i="10" l="1"/>
  <c r="J621" i="1"/>
  <c r="H655" i="1"/>
  <c r="G533" i="1"/>
  <c r="G544" i="1" s="1"/>
  <c r="F533" i="1" l="1"/>
  <c r="F544" i="1" s="1"/>
  <c r="L530" i="1"/>
  <c r="H548" i="1" l="1"/>
  <c r="L533" i="1"/>
  <c r="L544" i="1" s="1"/>
  <c r="H551" i="1" l="1"/>
  <c r="K548" i="1"/>
  <c r="K551" i="1" s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<sst xmlns="http://schemas.openxmlformats.org/spreadsheetml/2006/main" count="3954" uniqueCount="912">
  <si>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</si>
  <si>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</si>
  <si>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</si>
  <si>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</si>
  <si>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</si>
  <si>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</si>
  <si>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</si>
  <si>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</si>
  <si>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</si>
  <si>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</si>
  <si>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</si>
  <si>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</si>
  <si>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</si>
  <si>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</si>
  <si>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</si>
  <si>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</si>
  <si>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</si>
  <si>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</si>
  <si>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</si>
  <si>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</si>
  <si>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</si>
  <si>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</si>
  <si>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</si>
  <si>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</si>
  <si>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</si>
  <si>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</si>
  <si>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</si>
  <si>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</si>
  <si>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</si>
  <si>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</si>
  <si>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</si>
  <si>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</si>
  <si>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</si>
  <si>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</si>
  <si>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</si>
  <si>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</si>
  <si>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</si>
  <si>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</si>
  <si>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</si>
  <si>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</si>
  <si>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</si>
  <si>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</si>
  <si>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</si>
  <si>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</si>
  <si>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</si>
  <si>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</si>
  <si>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</si>
  <si>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</si>
  <si>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</si>
  <si>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</si>
  <si>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</si>
  <si>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</si>
  <si>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</si>
  <si>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</si>
  <si>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</si>
  <si>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</si>
  <si>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</si>
  <si>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</si>
  <si>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</si>
  <si>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</si>
  <si>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</si>
  <si>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</si>
  <si>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</si>
  <si>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</si>
  <si>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</si>
  <si>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</si>
  <si>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</si>
  <si>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</si>
  <si>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</si>
  <si>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</si>
  <si>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</si>
  <si>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</si>
  <si>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</si>
  <si>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</si>
  <si>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</si>
  <si>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</si>
  <si>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</si>
  <si>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</si>
  <si>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</si>
  <si>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</si>
  <si>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</si>
  <si>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</si>
  <si>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</si>
  <si>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</si>
  <si>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</si>
  <si>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</si>
  <si>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</si>
  <si>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</si>
  <si>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</si>
  <si>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</si>
  <si>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</si>
  <si>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</si>
  <si>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</si>
  <si>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</si>
  <si>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</si>
  <si>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</si>
  <si>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</si>
  <si>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</si>
  <si>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</si>
  <si>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</si>
  <si>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</si>
  <si>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</si>
  <si>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</si>
  <si>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</si>
  <si>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</si>
  <si>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</si>
  <si>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</si>
  <si>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</si>
  <si>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</si>
  <si>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</si>
  <si>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</si>
  <si>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</si>
  <si>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</si>
  <si>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</si>
  <si>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</si>
  <si>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</si>
  <si>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</si>
  <si>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</si>
  <si>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</si>
  <si>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</si>
  <si>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</si>
  <si>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</si>
  <si>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</si>
  <si>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</si>
  <si>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</si>
  <si>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</si>
  <si>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</si>
  <si>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</si>
  <si>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</si>
  <si>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</si>
  <si>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</si>
  <si>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</si>
  <si>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</si>
  <si>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</si>
  <si>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</si>
  <si>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</si>
  <si>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</si>
  <si>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</si>
  <si>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</si>
  <si>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</si>
  <si>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</si>
  <si>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</si>
  <si>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</si>
  <si>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</si>
  <si>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</si>
  <si>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</si>
  <si>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</si>
  <si>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</si>
  <si>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</si>
  <si>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</si>
  <si>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</si>
  <si>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</si>
  <si>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</si>
  <si>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</si>
  <si>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</si>
  <si>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</si>
  <si>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</si>
  <si>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</si>
  <si>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</si>
  <si>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</si>
  <si>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</si>
  <si>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</si>
  <si>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</si>
  <si>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</si>
  <si>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</si>
  <si>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</si>
  <si>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</si>
  <si>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</si>
  <si>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</si>
  <si>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</si>
  <si>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</si>
  <si>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</si>
  <si>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</si>
  <si>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</si>
  <si>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</si>
  <si>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</si>
  <si>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</si>
  <si>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</si>
  <si>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</si>
  <si>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</si>
  <si>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</si>
  <si>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</si>
  <si>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</si>
  <si>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</si>
  <si>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</si>
  <si>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</si>
  <si>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</si>
  <si>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</si>
  <si>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</si>
  <si>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</si>
  <si>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</si>
  <si>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</si>
  <si>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</si>
  <si>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</si>
  <si>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</si>
  <si>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</si>
  <si>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</si>
  <si>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</si>
  <si>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</si>
  <si>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</si>
  <si>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</si>
  <si>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</si>
  <si>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</si>
  <si>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</si>
  <si>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</si>
  <si>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</si>
  <si>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</si>
  <si>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</si>
  <si>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</si>
  <si>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</si>
  <si>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</si>
  <si>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</si>
  <si>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</si>
  <si>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</si>
  <si>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</si>
  <si>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</si>
  <si>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</si>
  <si>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</si>
  <si>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</si>
  <si>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</si>
  <si>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</si>
  <si>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</si>
  <si>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</si>
  <si>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</si>
  <si>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</si>
  <si>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</si>
  <si>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</si>
  <si>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</si>
  <si>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</si>
  <si>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</si>
  <si>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</si>
  <si>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</si>
  <si>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</si>
  <si>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</si>
  <si>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</si>
  <si>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</si>
  <si>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</si>
  <si>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</si>
  <si>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</si>
  <si>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</si>
  <si>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</si>
  <si>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</si>
  <si>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</si>
  <si>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</si>
  <si>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</si>
  <si>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</si>
  <si>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</si>
  <si>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</si>
  <si>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</si>
  <si>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</si>
  <si>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</si>
  <si>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</si>
  <si>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</si>
  <si>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</si>
  <si>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</si>
  <si>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</si>
  <si>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</si>
  <si>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</si>
  <si>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</si>
  <si>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</si>
  <si>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</si>
  <si>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</si>
  <si>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</si>
  <si>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</si>
  <si>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</si>
  <si>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</si>
  <si>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</si>
  <si>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</si>
  <si>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</si>
  <si>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</si>
  <si>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</si>
  <si>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</si>
  <si>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</si>
  <si>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</si>
  <si>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</si>
  <si>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</si>
  <si>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</si>
  <si>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</si>
  <si>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</si>
  <si>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</si>
  <si>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</si>
  <si>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</si>
  <si>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</si>
  <si>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</si>
  <si>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</si>
  <si>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</si>
  <si>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</si>
  <si>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</si>
  <si>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</si>
  <si>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</si>
  <si>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</si>
  <si>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</si>
  <si>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</si>
  <si>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</si>
  <si>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</si>
  <si>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</si>
  <si>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</si>
  <si>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</si>
  <si>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</si>
  <si>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</si>
  <si>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</si>
  <si>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</si>
  <si>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</si>
  <si>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</si>
  <si>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</si>
  <si>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</si>
  <si>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</si>
  <si>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</si>
  <si>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</si>
  <si>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</si>
  <si>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</si>
  <si>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</si>
  <si>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</si>
  <si>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</si>
  <si>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</si>
  <si>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</si>
  <si>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</si>
  <si>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</si>
  <si>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</si>
  <si>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</si>
  <si>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</si>
  <si>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</si>
  <si>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</si>
  <si>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</si>
  <si>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</si>
  <si>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</si>
  <si>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</si>
  <si>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</si>
  <si>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</si>
  <si>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</si>
  <si>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</si>
  <si>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</si>
  <si>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</si>
  <si>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</si>
  <si>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</si>
  <si>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</si>
  <si>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</si>
  <si>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</si>
  <si>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</si>
  <si>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</si>
  <si>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</si>
  <si>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</si>
  <si>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</si>
  <si>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</si>
  <si>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</si>
  <si>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</si>
  <si>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</si>
  <si>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</si>
  <si>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</si>
  <si>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</si>
  <si>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</si>
  <si>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</si>
  <si>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</si>
  <si>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</si>
  <si>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</si>
  <si>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</si>
  <si>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</si>
  <si>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</si>
  <si>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</si>
  <si>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</si>
  <si>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</si>
  <si>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</si>
  <si>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</si>
  <si>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</si>
  <si>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</si>
  <si>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</si>
  <si>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</si>
  <si>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</si>
  <si>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</si>
  <si>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</si>
  <si>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</si>
  <si>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</si>
  <si>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</si>
  <si>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</si>
  <si>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</si>
  <si>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</si>
  <si>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</si>
  <si>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</si>
  <si>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</si>
  <si>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</si>
  <si>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</si>
  <si>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</si>
  <si>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</si>
  <si>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</si>
  <si>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</si>
  <si>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</si>
  <si>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</si>
  <si>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</si>
  <si>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</si>
  <si>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</si>
  <si>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</si>
  <si>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</si>
  <si>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</si>
  <si>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</si>
  <si>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</si>
  <si>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</si>
  <si>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</si>
  <si>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</si>
  <si>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</si>
  <si>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</si>
  <si>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</si>
  <si>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</si>
  <si>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</si>
  <si>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</si>
  <si>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</si>
  <si>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</si>
  <si>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</si>
  <si>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</si>
  <si>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</si>
  <si>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</si>
  <si>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</si>
  <si>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</si>
  <si>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</si>
  <si>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</si>
  <si>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</si>
  <si>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</si>
  <si>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</si>
  <si>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</si>
  <si>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</si>
  <si>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</si>
  <si>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</si>
  <si>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</si>
  <si>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</si>
  <si>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</si>
  <si>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</si>
  <si>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</si>
  <si>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</si>
  <si>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</si>
  <si>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</si>
  <si>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</si>
  <si>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</si>
  <si>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</si>
  <si>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</si>
  <si>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</si>
  <si>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</si>
  <si>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</si>
  <si>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</si>
  <si>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</si>
  <si>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</si>
  <si>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</si>
  <si>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</si>
  <si>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</si>
  <si>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</si>
  <si>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</si>
  <si>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</si>
  <si>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</si>
  <si>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</si>
  <si>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</si>
  <si>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</si>
  <si>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</si>
  <si>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</si>
  <si>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</si>
  <si>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</si>
  <si>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</si>
  <si>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</si>
  <si>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</si>
  <si>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</si>
  <si>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</si>
  <si>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</si>
  <si>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</si>
  <si>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</si>
  <si>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</si>
  <si>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</si>
  <si>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</si>
  <si>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</si>
  <si>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</si>
  <si>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</si>
  <si>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</si>
  <si>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</si>
  <si>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</si>
  <si>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</si>
  <si>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</si>
  <si>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</si>
  <si>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</si>
  <si>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</si>
  <si>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</si>
  <si>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</si>
  <si>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</si>
  <si>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</si>
  <si>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</si>
  <si>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</si>
  <si>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</si>
  <si>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</si>
  <si>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</si>
  <si>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</si>
  <si>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</si>
  <si>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</si>
  <si>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</si>
  <si>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</si>
  <si>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</si>
  <si>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</si>
  <si>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</si>
  <si>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</si>
  <si>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</si>
  <si>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</si>
  <si>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</si>
  <si>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</si>
  <si>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</si>
  <si>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</si>
  <si>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</si>
  <si>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</si>
  <si>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</si>
  <si>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</si>
  <si>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</si>
  <si>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</si>
  <si>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</si>
  <si>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</si>
  <si>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</si>
  <si>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</si>
  <si>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</si>
  <si>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</si>
  <si>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</si>
  <si>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</si>
  <si>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</si>
  <si>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</si>
  <si>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</si>
  <si>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</si>
  <si>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</si>
  <si>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</si>
  <si>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</si>
  <si>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</si>
  <si>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</si>
  <si>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</si>
  <si>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</si>
  <si>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</si>
  <si>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</si>
  <si>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</si>
  <si>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</si>
  <si>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</si>
  <si>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</si>
  <si>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</si>
  <si>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</si>
  <si>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</si>
  <si>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</si>
  <si>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</si>
  <si>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</si>
  <si>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</si>
  <si>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</si>
  <si>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</si>
  <si>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</si>
  <si>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</si>
  <si>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</si>
  <si>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</si>
  <si>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</si>
  <si>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</si>
  <si>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</si>
  <si>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</si>
  <si>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</si>
  <si>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</si>
  <si>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</si>
  <si>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</si>
  <si>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</si>
  <si>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</si>
  <si>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</si>
  <si>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</si>
  <si>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</si>
  <si>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</si>
  <si>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</si>
  <si>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</si>
  <si>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</si>
  <si>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</si>
  <si>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</si>
  <si>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</si>
  <si>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</si>
  <si>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</si>
  <si>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</si>
  <si>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</si>
  <si>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</si>
  <si>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</si>
  <si>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</si>
  <si>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</si>
  <si>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</si>
  <si>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</si>
  <si>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</si>
  <si>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</si>
  <si>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</si>
  <si>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</si>
  <si>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</si>
  <si>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</si>
  <si>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</si>
  <si>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</si>
  <si>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</si>
  <si>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</si>
  <si>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</si>
  <si>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</si>
  <si>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</si>
  <si>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</si>
  <si>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</si>
  <si>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</si>
  <si>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</si>
  <si>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</si>
  <si>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</si>
  <si>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</si>
  <si>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</si>
  <si>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</si>
  <si>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</si>
  <si>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</si>
  <si>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</si>
  <si>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</si>
  <si>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</si>
  <si>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</si>
  <si>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</si>
  <si>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</si>
  <si>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</si>
  <si>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</si>
  <si>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</si>
  <si>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</si>
  <si>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</si>
  <si>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</si>
  <si>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</si>
  <si>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</si>
  <si>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</si>
  <si>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</si>
  <si>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</si>
  <si>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</si>
  <si>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</si>
  <si>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</si>
  <si>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</si>
  <si>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</si>
  <si>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</si>
  <si>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</si>
  <si>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</si>
  <si>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</si>
  <si>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</si>
  <si>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</si>
  <si>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</si>
  <si>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</si>
  <si>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</si>
  <si>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</si>
  <si>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</si>
  <si>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</si>
  <si>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</si>
  <si>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</si>
  <si>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</si>
  <si>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</si>
  <si>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</si>
  <si>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</si>
  <si>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</si>
  <si>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</si>
  <si>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</si>
  <si>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</si>
  <si>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</si>
  <si>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</si>
  <si>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</si>
  <si>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</si>
  <si>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</si>
  <si>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</si>
  <si>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</si>
  <si>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</si>
  <si>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</si>
  <si>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</si>
  <si>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</si>
  <si>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</si>
  <si>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</si>
  <si>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</si>
  <si>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</si>
  <si>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</si>
  <si>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</si>
  <si>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</si>
  <si>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</si>
  <si>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</si>
  <si>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</si>
  <si>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</si>
  <si>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</si>
  <si>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</si>
  <si>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</si>
  <si>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</si>
  <si>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</si>
  <si>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</si>
  <si>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</si>
  <si>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</si>
  <si>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</si>
  <si>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</si>
  <si>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</si>
  <si>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</si>
  <si>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</si>
  <si>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</si>
  <si>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</si>
  <si>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</si>
  <si>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</si>
  <si>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</si>
  <si>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</si>
  <si>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</si>
  <si>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</si>
  <si>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</si>
  <si>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</si>
  <si>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</si>
  <si>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</si>
  <si>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</si>
  <si>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</si>
  <si>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</si>
  <si>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</si>
  <si>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</si>
  <si>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</si>
  <si>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</si>
  <si>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</si>
  <si>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</si>
  <si>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</si>
  <si>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</si>
  <si>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</si>
  <si>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</si>
  <si>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</si>
  <si>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</si>
  <si>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</si>
  <si>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</si>
  <si>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</si>
  <si>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</si>
  <si>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</si>
  <si>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</si>
  <si>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</si>
  <si>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</si>
  <si>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</si>
  <si>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</si>
  <si>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</si>
  <si>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</si>
  <si>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</si>
  <si>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</si>
  <si>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</si>
  <si>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</si>
  <si>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</si>
  <si>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</si>
  <si>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</si>
  <si>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</si>
  <si>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</si>
  <si>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</si>
  <si>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</si>
  <si>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</si>
  <si>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</si>
  <si>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</si>
  <si>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</si>
  <si>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</si>
  <si>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</si>
  <si>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</si>
  <si>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</si>
  <si>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</si>
  <si>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</si>
  <si>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</si>
  <si>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</si>
  <si>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</si>
  <si>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</si>
  <si>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</si>
  <si>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</si>
  <si>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</si>
  <si>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</si>
  <si>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</si>
  <si>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</si>
  <si>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</si>
  <si>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</si>
  <si>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</si>
  <si>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</si>
  <si>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</si>
  <si>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</si>
  <si>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</si>
  <si>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</si>
  <si>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</si>
  <si>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</si>
  <si>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</si>
  <si>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</si>
  <si>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</si>
  <si>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</si>
  <si>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</si>
  <si>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</si>
  <si>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</si>
  <si>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</si>
  <si>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</si>
  <si>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</si>
  <si>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</si>
  <si>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</si>
  <si>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</si>
  <si>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</si>
  <si>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</si>
  <si>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</si>
  <si>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</si>
  <si>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</si>
  <si>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</si>
  <si>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</si>
  <si>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</si>
  <si>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</si>
  <si>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</si>
  <si>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</si>
  <si>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</si>
  <si>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</si>
  <si>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</si>
  <si>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</si>
  <si>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</si>
  <si>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</si>
  <si>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</si>
  <si>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</si>
  <si>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</si>
  <si>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</si>
  <si>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</si>
  <si>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</si>
  <si>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</si>
  <si>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</si>
  <si>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</si>
  <si>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</si>
  <si>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</si>
  <si>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</si>
  <si>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</si>
  <si>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</si>
  <si>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</si>
  <si>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</si>
  <si>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</si>
  <si>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</si>
  <si>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</si>
  <si>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</si>
  <si>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</si>
  <si>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</si>
  <si>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</si>
  <si>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</si>
  <si>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</si>
  <si>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</si>
  <si>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</si>
  <si>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</si>
  <si>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</si>
  <si>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</si>
  <si>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</si>
  <si>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</si>
  <si>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</si>
  <si>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</si>
  <si>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</si>
  <si>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</si>
  <si>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</si>
  <si>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</si>
  <si>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</si>
  <si>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</si>
  <si>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</si>
  <si>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</si>
  <si>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</si>
  <si>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</si>
  <si>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</si>
  <si>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</si>
  <si>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</si>
  <si>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</si>
  <si>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</si>
  <si>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</si>
  <si>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</si>
  <si>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</si>
  <si>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</si>
  <si>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</si>
  <si>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</si>
  <si>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</si>
  <si>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</si>
  <si>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</si>
  <si>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</si>
  <si>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</si>
  <si>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</si>
  <si>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</si>
  <si>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</si>
  <si>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</si>
  <si>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</si>
  <si>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</si>
  <si>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</si>
  <si>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</si>
  <si>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</si>
  <si>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</si>
  <si>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</si>
  <si>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</si>
  <si>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</si>
  <si>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</si>
  <si>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</si>
  <si>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</si>
  <si>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</si>
  <si>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</si>
  <si>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</si>
  <si>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</si>
  <si>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</si>
  <si>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</si>
  <si>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</si>
  <si>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</si>
  <si>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</si>
  <si>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</si>
  <si>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</si>
  <si>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</si>
  <si>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</si>
  <si>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</si>
  <si>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</si>
  <si>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</si>
  <si>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</si>
  <si>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</si>
  <si>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</si>
  <si>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</si>
  <si>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</si>
  <si>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</si>
  <si>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</si>
  <si>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</si>
  <si>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</si>
  <si>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</si>
  <si>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</si>
  <si>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</si>
  <si>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</si>
  <si>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</si>
  <si>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</si>
  <si>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</si>
  <si>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</si>
  <si>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</si>
  <si>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</si>
  <si>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</si>
  <si>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</si>
  <si>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</si>
  <si>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</si>
  <si>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</si>
  <si>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</si>
  <si>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</si>
  <si>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</si>
  <si>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</si>
  <si>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</si>
  <si>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</si>
  <si>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</si>
  <si>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</t>
  </si>
  <si>
    <t>July 1, 2011 Fund Balance Different from June 30, 2011 DOE25 Page 19 Line 8 Due To Audit Adjustments</t>
  </si>
  <si>
    <t>Rollinsford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</si>
</sst>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6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5" zoomScaleNormal="8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520" sqref="H52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4" t="s">
        <v>911</v>
      </c>
      <c r="B2" s="21">
        <v>463</v>
      </c>
      <c r="C2" s="21">
        <v>463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20055.150000000001</v>
      </c>
      <c r="G9" s="18">
        <v>55703.13</v>
      </c>
      <c r="H9" s="18">
        <v>92148.67</v>
      </c>
      <c r="I9" s="18">
        <v>0</v>
      </c>
      <c r="J9" s="66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10441.469999999999</v>
      </c>
      <c r="G10" s="18">
        <v>0</v>
      </c>
      <c r="H10" s="18">
        <v>0</v>
      </c>
      <c r="I10" s="18">
        <v>0</v>
      </c>
      <c r="J10" s="66">
        <f>SUM(I439)</f>
        <v>78546.420000000013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115645.32</v>
      </c>
      <c r="G12" s="18">
        <v>1004.08</v>
      </c>
      <c r="H12" s="18">
        <v>0</v>
      </c>
      <c r="I12" s="18">
        <v>0</v>
      </c>
      <c r="J12" s="66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49197.17+16465.51</f>
        <v>65662.679999999993</v>
      </c>
      <c r="G13" s="18">
        <v>6450.27</v>
      </c>
      <c r="H13" s="18">
        <v>0</v>
      </c>
      <c r="I13" s="18">
        <v>0</v>
      </c>
      <c r="J13" s="66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241.98</v>
      </c>
      <c r="H14" s="18">
        <v>0</v>
      </c>
      <c r="I14" s="18">
        <v>0</v>
      </c>
      <c r="J14" s="66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6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6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211804.62</v>
      </c>
      <c r="G19" s="41">
        <f>SUM(G9:G18)</f>
        <v>63399.46</v>
      </c>
      <c r="H19" s="41">
        <f>SUM(H9:H18)</f>
        <v>92148.67</v>
      </c>
      <c r="I19" s="41">
        <f>SUM(I9:I18)</f>
        <v>0</v>
      </c>
      <c r="J19" s="41">
        <f>SUM(J9:J18)</f>
        <v>78546.420000000013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7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60959.54</v>
      </c>
      <c r="H22" s="18">
        <f>119464.59-27524.24</f>
        <v>91940.349999999991</v>
      </c>
      <c r="I22" s="18">
        <v>0</v>
      </c>
      <c r="J22" s="66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6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46988.2</v>
      </c>
      <c r="G24" s="18">
        <v>0</v>
      </c>
      <c r="H24" s="18">
        <v>208.32</v>
      </c>
      <c r="I24" s="18">
        <v>0</v>
      </c>
      <c r="J24" s="66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6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46988.2</v>
      </c>
      <c r="G32" s="41">
        <f>SUM(G22:G31)</f>
        <v>60959.54</v>
      </c>
      <c r="H32" s="41">
        <f>SUM(H22:H31)</f>
        <v>92148.67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f>-3441+5880.92</f>
        <v>2439.92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0</v>
      </c>
      <c r="H47" s="18">
        <v>0</v>
      </c>
      <c r="I47" s="18">
        <v>0</v>
      </c>
      <c r="J47" s="13">
        <f>SUM(I458)</f>
        <v>78546.420000000013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>
        <v>0</v>
      </c>
      <c r="H48" s="18">
        <v>0</v>
      </c>
      <c r="I48" s="18">
        <v>0</v>
      </c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0">
        <v>34</v>
      </c>
      <c r="D49" s="2" t="s">
        <v>657</v>
      </c>
      <c r="E49" s="6">
        <v>770</v>
      </c>
      <c r="F49" s="18">
        <f>115861+48207.36-10000+748.06+10000</f>
        <v>164816.41999999998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164816.41999999998</v>
      </c>
      <c r="G50" s="41">
        <f>SUM(G35:G49)</f>
        <v>2439.92</v>
      </c>
      <c r="H50" s="41">
        <f>SUM(H35:H49)</f>
        <v>0</v>
      </c>
      <c r="I50" s="41">
        <f>SUM(I35:I49)</f>
        <v>0</v>
      </c>
      <c r="J50" s="41">
        <f>SUM(J35:J49)</f>
        <v>78546.420000000013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211804.62</v>
      </c>
      <c r="G51" s="41">
        <f>G50+G32</f>
        <v>63399.46</v>
      </c>
      <c r="H51" s="41">
        <f>H50+H32</f>
        <v>92148.67</v>
      </c>
      <c r="I51" s="41">
        <f>I50+I32</f>
        <v>0</v>
      </c>
      <c r="J51" s="41">
        <f>J50+J32</f>
        <v>78546.420000000013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3564654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3564654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0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68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239.15</v>
      </c>
      <c r="G95" s="18">
        <v>0</v>
      </c>
      <c r="H95" s="18">
        <v>0</v>
      </c>
      <c r="I95" s="18">
        <v>0</v>
      </c>
      <c r="J95" s="18">
        <f>18.58+29.78</f>
        <v>48.36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18316.65+66.25+1.6+-1148.68+1604.85+657.7</f>
        <v>19498.37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3262.85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3111.02</v>
      </c>
      <c r="G109" s="18">
        <v>0</v>
      </c>
      <c r="H109" s="18">
        <v>0</v>
      </c>
      <c r="I109" s="18">
        <v>0</v>
      </c>
      <c r="J109" s="18">
        <v>0</v>
      </c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6613.02</v>
      </c>
      <c r="G110" s="41">
        <f>SUM(G95:G109)</f>
        <v>19498.37</v>
      </c>
      <c r="H110" s="41">
        <f>SUM(H95:H109)</f>
        <v>0</v>
      </c>
      <c r="I110" s="41">
        <f>SUM(I95:I109)</f>
        <v>0</v>
      </c>
      <c r="J110" s="41">
        <f>SUM(J95:J109)</f>
        <v>48.36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3571267.02</v>
      </c>
      <c r="G111" s="41">
        <f>G59+G110</f>
        <v>19498.37</v>
      </c>
      <c r="H111" s="41">
        <f>H59+H78+H93+H110</f>
        <v>0</v>
      </c>
      <c r="I111" s="41">
        <f>I59+I110</f>
        <v>0</v>
      </c>
      <c r="J111" s="41">
        <f>J59+J110</f>
        <v>48.36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538592.34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642105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466.66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1181163.9999999998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0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691.76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691.76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1181163.9999999998</v>
      </c>
      <c r="G139" s="41">
        <f>G120+SUM(G135:G136)</f>
        <v>691.76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69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3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24847.78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835.66+14564+5000</f>
        <v>20399.66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19239.08-691.76</f>
        <v>18547.320000000003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0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18669.39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0</v>
      </c>
      <c r="H160" s="18">
        <v>24427.89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18669.39</v>
      </c>
      <c r="G161" s="41">
        <f>SUM(G149:G160)</f>
        <v>18547.320000000003</v>
      </c>
      <c r="H161" s="41">
        <f>SUM(H149:H160)</f>
        <v>69675.33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0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18669.39</v>
      </c>
      <c r="G168" s="41">
        <f>G146+G161+SUM(G162:G167)</f>
        <v>18547.320000000003</v>
      </c>
      <c r="H168" s="41">
        <f>H146+H161+SUM(H162:H167)</f>
        <v>69675.33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69"/>
      <c r="B169" s="36"/>
      <c r="C169" s="74"/>
      <c r="D169" s="74"/>
      <c r="E169" s="74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3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12000</v>
      </c>
      <c r="H178" s="18">
        <v>0</v>
      </c>
      <c r="I178" s="18">
        <v>0</v>
      </c>
      <c r="J178" s="18">
        <v>10000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12000</v>
      </c>
      <c r="H182" s="41">
        <f>SUM(H178:H181)</f>
        <v>0</v>
      </c>
      <c r="I182" s="41">
        <f>SUM(I178:I181)</f>
        <v>0</v>
      </c>
      <c r="J182" s="41">
        <f>SUM(J178:J181)</f>
        <v>10000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4" t="s">
        <v>431</v>
      </c>
      <c r="E191" s="51">
        <v>5000</v>
      </c>
      <c r="F191" s="41">
        <f>F176+F182+SUM(F187:F190)</f>
        <v>0</v>
      </c>
      <c r="G191" s="41">
        <f>G182+SUM(G187:G190)</f>
        <v>12000</v>
      </c>
      <c r="H191" s="41">
        <f>+H182+SUM(H187:H190)</f>
        <v>0</v>
      </c>
      <c r="I191" s="41">
        <f>I176+I182+SUM(I187:I190)</f>
        <v>0</v>
      </c>
      <c r="J191" s="41">
        <f>J182</f>
        <v>10000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5" t="s">
        <v>431</v>
      </c>
      <c r="E192" s="44"/>
      <c r="F192" s="47">
        <f>F111+F139+F168+F191</f>
        <v>4771100.4099999992</v>
      </c>
      <c r="G192" s="47">
        <f>G111+G139+G168+G191</f>
        <v>50737.45</v>
      </c>
      <c r="H192" s="47">
        <f>H111+H139+H168+H191</f>
        <v>69675.33</v>
      </c>
      <c r="I192" s="47">
        <f>I111+I139+I168+I191</f>
        <v>0</v>
      </c>
      <c r="J192" s="47">
        <f>J111+J139+J191</f>
        <v>10048.36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5" t="s">
        <v>693</v>
      </c>
      <c r="G193" s="175" t="s">
        <v>694</v>
      </c>
      <c r="H193" s="175" t="s">
        <v>695</v>
      </c>
      <c r="I193" s="175" t="s">
        <v>696</v>
      </c>
      <c r="J193" s="175" t="s">
        <v>697</v>
      </c>
      <c r="K193" s="175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2" t="s">
        <v>54</v>
      </c>
      <c r="G194" s="102" t="s">
        <v>55</v>
      </c>
      <c r="H194" s="102" t="s">
        <v>56</v>
      </c>
      <c r="I194" s="102" t="s">
        <v>57</v>
      </c>
      <c r="J194" s="102" t="s">
        <v>58</v>
      </c>
      <c r="K194" s="102" t="s">
        <v>59</v>
      </c>
      <c r="L194" s="102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873702.76</v>
      </c>
      <c r="G196" s="18">
        <v>378038.5</v>
      </c>
      <c r="H196" s="18">
        <v>35725.19</v>
      </c>
      <c r="I196" s="18">
        <v>28777.14</v>
      </c>
      <c r="J196" s="18">
        <v>39015.549999999996</v>
      </c>
      <c r="K196" s="18">
        <v>0</v>
      </c>
      <c r="L196" s="19">
        <f>SUM(F196:K196)</f>
        <v>1355259.14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342018.02</v>
      </c>
      <c r="G197" s="18">
        <v>108180.95999999999</v>
      </c>
      <c r="H197" s="18">
        <v>77131.95</v>
      </c>
      <c r="I197" s="18">
        <v>3392.97</v>
      </c>
      <c r="J197" s="18">
        <v>4219.12</v>
      </c>
      <c r="K197" s="18">
        <v>0</v>
      </c>
      <c r="L197" s="19">
        <f>SUM(F197:K197)</f>
        <v>534943.0199999999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2160</v>
      </c>
      <c r="G199" s="18">
        <v>409.32000000000005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2569.3200000000002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163197.84</v>
      </c>
      <c r="G201" s="18">
        <v>90461.82</v>
      </c>
      <c r="H201" s="18">
        <v>47124.91</v>
      </c>
      <c r="I201" s="18">
        <v>800.76</v>
      </c>
      <c r="J201" s="18">
        <v>270</v>
      </c>
      <c r="K201" s="18">
        <v>0</v>
      </c>
      <c r="L201" s="19">
        <f t="shared" ref="L201:L207" si="0">SUM(F201:K201)</f>
        <v>301855.33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26851.88</v>
      </c>
      <c r="G202" s="18">
        <v>2008.43</v>
      </c>
      <c r="H202" s="18">
        <v>7258.44</v>
      </c>
      <c r="I202" s="18">
        <v>3544.55</v>
      </c>
      <c r="J202" s="18">
        <v>495</v>
      </c>
      <c r="K202" s="18">
        <v>1067.3</v>
      </c>
      <c r="L202" s="19">
        <f t="shared" si="0"/>
        <v>41225.600000000006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6688.75</v>
      </c>
      <c r="G203" s="18">
        <v>738.74</v>
      </c>
      <c r="H203" s="18">
        <v>226256.21</v>
      </c>
      <c r="I203" s="18">
        <v>304.65999999999997</v>
      </c>
      <c r="J203" s="18">
        <v>7852.33</v>
      </c>
      <c r="K203" s="18">
        <v>3009.3</v>
      </c>
      <c r="L203" s="19">
        <f t="shared" si="0"/>
        <v>244849.98999999996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116386.41</v>
      </c>
      <c r="G204" s="18">
        <v>36552.06</v>
      </c>
      <c r="H204" s="18">
        <v>1440.08</v>
      </c>
      <c r="I204" s="18">
        <v>1267.79</v>
      </c>
      <c r="J204" s="18">
        <v>785.9</v>
      </c>
      <c r="K204" s="18">
        <v>0</v>
      </c>
      <c r="L204" s="19">
        <f t="shared" si="0"/>
        <v>156432.24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71563.240000000005</v>
      </c>
      <c r="G206" s="18">
        <v>37368.299999999996</v>
      </c>
      <c r="H206" s="18">
        <v>43658</v>
      </c>
      <c r="I206" s="18">
        <v>60300</v>
      </c>
      <c r="J206" s="18">
        <v>2442.85</v>
      </c>
      <c r="K206" s="18">
        <v>0</v>
      </c>
      <c r="L206" s="19">
        <f t="shared" si="0"/>
        <v>215332.39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143540.90524539875</v>
      </c>
      <c r="I207" s="18">
        <v>0</v>
      </c>
      <c r="J207" s="18">
        <v>0</v>
      </c>
      <c r="K207" s="18">
        <v>0</v>
      </c>
      <c r="L207" s="19">
        <f t="shared" si="0"/>
        <v>143540.90524539875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1602568.9</v>
      </c>
      <c r="G210" s="41">
        <f t="shared" si="1"/>
        <v>653758.13000000012</v>
      </c>
      <c r="H210" s="41">
        <f t="shared" si="1"/>
        <v>582135.68524539866</v>
      </c>
      <c r="I210" s="41">
        <f t="shared" si="1"/>
        <v>98387.87000000001</v>
      </c>
      <c r="J210" s="41">
        <f t="shared" si="1"/>
        <v>55080.75</v>
      </c>
      <c r="K210" s="41">
        <f t="shared" si="1"/>
        <v>4076.6000000000004</v>
      </c>
      <c r="L210" s="41">
        <f t="shared" si="1"/>
        <v>2996007.9352453984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5" t="s">
        <v>693</v>
      </c>
      <c r="G211" s="175" t="s">
        <v>694</v>
      </c>
      <c r="H211" s="175" t="s">
        <v>695</v>
      </c>
      <c r="I211" s="175" t="s">
        <v>696</v>
      </c>
      <c r="J211" s="175" t="s">
        <v>697</v>
      </c>
      <c r="K211" s="175" t="s">
        <v>698</v>
      </c>
      <c r="L211" s="66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2" t="s">
        <v>54</v>
      </c>
      <c r="G212" s="102" t="s">
        <v>55</v>
      </c>
      <c r="H212" s="102" t="s">
        <v>56</v>
      </c>
      <c r="I212" s="102" t="s">
        <v>57</v>
      </c>
      <c r="J212" s="102" t="s">
        <v>58</v>
      </c>
      <c r="K212" s="102" t="s">
        <v>59</v>
      </c>
      <c r="L212" s="102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0</v>
      </c>
      <c r="G214" s="18">
        <v>0</v>
      </c>
      <c r="H214" s="18">
        <v>439012.59</v>
      </c>
      <c r="I214" s="18">
        <v>0</v>
      </c>
      <c r="J214" s="18">
        <v>0</v>
      </c>
      <c r="K214" s="18">
        <v>0</v>
      </c>
      <c r="L214" s="19">
        <f>SUM(F214:K214)</f>
        <v>439012.59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0</v>
      </c>
      <c r="G215" s="18">
        <v>0</v>
      </c>
      <c r="H215" s="18">
        <v>53726.36</v>
      </c>
      <c r="I215" s="18">
        <v>0</v>
      </c>
      <c r="J215" s="18">
        <v>0</v>
      </c>
      <c r="K215" s="18">
        <v>0</v>
      </c>
      <c r="L215" s="19">
        <f>SUM(F215:K215)</f>
        <v>53726.36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28084.875644171774</v>
      </c>
      <c r="I225" s="18">
        <v>0</v>
      </c>
      <c r="J225" s="18">
        <v>0</v>
      </c>
      <c r="K225" s="18">
        <v>0</v>
      </c>
      <c r="L225" s="19">
        <f t="shared" si="2"/>
        <v>28084.875644171774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520823.8256441718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520823.8256441718</v>
      </c>
      <c r="M228" s="8"/>
    </row>
    <row r="229" spans="1:13" s="3" customFormat="1" ht="12" customHeight="1" x14ac:dyDescent="0.15">
      <c r="A229" s="55" t="s">
        <v>466</v>
      </c>
      <c r="B229" s="36"/>
      <c r="C229" s="74"/>
      <c r="D229" s="74"/>
      <c r="E229" s="74"/>
      <c r="F229" s="175" t="s">
        <v>693</v>
      </c>
      <c r="G229" s="175" t="s">
        <v>694</v>
      </c>
      <c r="H229" s="175" t="s">
        <v>695</v>
      </c>
      <c r="I229" s="175" t="s">
        <v>696</v>
      </c>
      <c r="J229" s="175" t="s">
        <v>697</v>
      </c>
      <c r="K229" s="175" t="s">
        <v>698</v>
      </c>
      <c r="L229" s="66"/>
      <c r="M229" s="8"/>
    </row>
    <row r="230" spans="1:13" s="3" customFormat="1" ht="12" customHeight="1" x14ac:dyDescent="0.15">
      <c r="A230" s="29" t="s">
        <v>454</v>
      </c>
      <c r="F230" s="102" t="s">
        <v>54</v>
      </c>
      <c r="G230" s="102" t="s">
        <v>55</v>
      </c>
      <c r="H230" s="102" t="s">
        <v>56</v>
      </c>
      <c r="I230" s="102" t="s">
        <v>57</v>
      </c>
      <c r="J230" s="102" t="s">
        <v>58</v>
      </c>
      <c r="K230" s="102" t="s">
        <v>59</v>
      </c>
      <c r="L230" s="102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0</v>
      </c>
      <c r="G232" s="18">
        <v>0</v>
      </c>
      <c r="H232" s="18">
        <v>1034966.72</v>
      </c>
      <c r="I232" s="18">
        <v>0</v>
      </c>
      <c r="J232" s="18">
        <v>0</v>
      </c>
      <c r="K232" s="18">
        <v>0</v>
      </c>
      <c r="L232" s="19">
        <f>SUM(F232:K232)</f>
        <v>1034966.72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0</v>
      </c>
      <c r="G233" s="18">
        <v>0</v>
      </c>
      <c r="H233" s="18">
        <v>87382.38</v>
      </c>
      <c r="I233" s="18">
        <v>0</v>
      </c>
      <c r="J233" s="18">
        <v>0</v>
      </c>
      <c r="K233" s="18">
        <v>0</v>
      </c>
      <c r="L233" s="19">
        <f>SUM(F233:K233)</f>
        <v>87382.38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70212.189110429434</v>
      </c>
      <c r="I243" s="18">
        <v>0</v>
      </c>
      <c r="J243" s="18">
        <v>0</v>
      </c>
      <c r="K243" s="18">
        <v>0</v>
      </c>
      <c r="L243" s="19">
        <f t="shared" si="4"/>
        <v>70212.189110429434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1192561.2891104296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1192561.2891104296</v>
      </c>
      <c r="M246" s="8"/>
    </row>
    <row r="247" spans="1:13" s="3" customFormat="1" ht="12" customHeight="1" x14ac:dyDescent="0.15">
      <c r="A247" s="69"/>
      <c r="B247" s="36"/>
      <c r="C247" s="37"/>
      <c r="D247" s="37"/>
      <c r="E247" s="37"/>
      <c r="F247" s="175" t="s">
        <v>693</v>
      </c>
      <c r="G247" s="175" t="s">
        <v>694</v>
      </c>
      <c r="H247" s="175" t="s">
        <v>695</v>
      </c>
      <c r="I247" s="175" t="s">
        <v>696</v>
      </c>
      <c r="J247" s="175" t="s">
        <v>697</v>
      </c>
      <c r="K247" s="175" t="s">
        <v>698</v>
      </c>
      <c r="L247" s="66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2" t="s">
        <v>54</v>
      </c>
      <c r="G248" s="102" t="s">
        <v>55</v>
      </c>
      <c r="H248" s="102" t="s">
        <v>56</v>
      </c>
      <c r="I248" s="102" t="s">
        <v>57</v>
      </c>
      <c r="J248" s="102" t="s">
        <v>58</v>
      </c>
      <c r="K248" s="102" t="s">
        <v>59</v>
      </c>
      <c r="L248" s="102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1602568.9</v>
      </c>
      <c r="G256" s="41">
        <f t="shared" si="8"/>
        <v>653758.13000000012</v>
      </c>
      <c r="H256" s="41">
        <f t="shared" si="8"/>
        <v>2295520.7999999998</v>
      </c>
      <c r="I256" s="41">
        <f t="shared" si="8"/>
        <v>98387.87000000001</v>
      </c>
      <c r="J256" s="41">
        <f t="shared" si="8"/>
        <v>55080.75</v>
      </c>
      <c r="K256" s="41">
        <f t="shared" si="8"/>
        <v>4076.6000000000004</v>
      </c>
      <c r="L256" s="41">
        <f t="shared" si="8"/>
        <v>4709393.05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0</v>
      </c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12000</v>
      </c>
      <c r="L262" s="19">
        <f>SUM(F262:K262)</f>
        <v>12000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10000</v>
      </c>
      <c r="L265" s="19">
        <f t="shared" si="9"/>
        <v>10000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0</v>
      </c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22000</v>
      </c>
      <c r="L269" s="41">
        <f t="shared" si="9"/>
        <v>22000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1602568.9</v>
      </c>
      <c r="G270" s="42">
        <f t="shared" si="11"/>
        <v>653758.13000000012</v>
      </c>
      <c r="H270" s="42">
        <f t="shared" si="11"/>
        <v>2295520.7999999998</v>
      </c>
      <c r="I270" s="42">
        <f t="shared" si="11"/>
        <v>98387.87000000001</v>
      </c>
      <c r="J270" s="42">
        <f t="shared" si="11"/>
        <v>55080.75</v>
      </c>
      <c r="K270" s="42">
        <f t="shared" si="11"/>
        <v>26076.6</v>
      </c>
      <c r="L270" s="42">
        <f t="shared" si="11"/>
        <v>4731393.05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5" t="s">
        <v>693</v>
      </c>
      <c r="G272" s="175" t="s">
        <v>694</v>
      </c>
      <c r="H272" s="175" t="s">
        <v>695</v>
      </c>
      <c r="I272" s="175" t="s">
        <v>696</v>
      </c>
      <c r="J272" s="175" t="s">
        <v>697</v>
      </c>
      <c r="K272" s="175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2" t="s">
        <v>54</v>
      </c>
      <c r="G273" s="102" t="s">
        <v>55</v>
      </c>
      <c r="H273" s="102" t="s">
        <v>56</v>
      </c>
      <c r="I273" s="102" t="s">
        <v>57</v>
      </c>
      <c r="J273" s="102" t="s">
        <v>58</v>
      </c>
      <c r="K273" s="102" t="s">
        <v>59</v>
      </c>
      <c r="L273" s="102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10000+3642.63+30263.55</f>
        <v>43906.18</v>
      </c>
      <c r="G275" s="18">
        <v>0</v>
      </c>
      <c r="H275" s="18">
        <v>500</v>
      </c>
      <c r="I275" s="18">
        <v>0</v>
      </c>
      <c r="J275" s="18">
        <v>0</v>
      </c>
      <c r="K275" s="18">
        <v>0</v>
      </c>
      <c r="L275" s="19">
        <f>SUM(F275:K275)</f>
        <v>44406.18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17352.28</v>
      </c>
      <c r="G276" s="18">
        <f>1327.45+1050.54+467.98</f>
        <v>2845.97</v>
      </c>
      <c r="H276" s="18">
        <v>777.17</v>
      </c>
      <c r="I276" s="18">
        <f>78+357.56</f>
        <v>435.56</v>
      </c>
      <c r="J276" s="18">
        <v>3000</v>
      </c>
      <c r="K276" s="18">
        <v>0</v>
      </c>
      <c r="L276" s="19">
        <f>SUM(F276:K276)</f>
        <v>24410.98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si="12"/>
        <v>0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858.17</v>
      </c>
      <c r="L283" s="19">
        <f t="shared" si="12"/>
        <v>858.17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61258.46</v>
      </c>
      <c r="G289" s="42">
        <f t="shared" si="13"/>
        <v>2845.97</v>
      </c>
      <c r="H289" s="42">
        <f t="shared" si="13"/>
        <v>1277.17</v>
      </c>
      <c r="I289" s="42">
        <f t="shared" si="13"/>
        <v>435.56</v>
      </c>
      <c r="J289" s="42">
        <f t="shared" si="13"/>
        <v>3000</v>
      </c>
      <c r="K289" s="42">
        <f t="shared" si="13"/>
        <v>858.17</v>
      </c>
      <c r="L289" s="41">
        <f t="shared" si="13"/>
        <v>69675.33</v>
      </c>
      <c r="M289" s="8"/>
    </row>
    <row r="290" spans="1:13" s="3" customFormat="1" ht="12" customHeight="1" x14ac:dyDescent="0.2">
      <c r="A290" s="69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6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5" t="s">
        <v>693</v>
      </c>
      <c r="G291" s="175" t="s">
        <v>694</v>
      </c>
      <c r="H291" s="175" t="s">
        <v>695</v>
      </c>
      <c r="I291" s="175" t="s">
        <v>696</v>
      </c>
      <c r="J291" s="175" t="s">
        <v>697</v>
      </c>
      <c r="K291" s="175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2" t="s">
        <v>54</v>
      </c>
      <c r="G292" s="102" t="s">
        <v>55</v>
      </c>
      <c r="H292" s="102" t="s">
        <v>56</v>
      </c>
      <c r="I292" s="102" t="s">
        <v>57</v>
      </c>
      <c r="J292" s="102" t="s">
        <v>58</v>
      </c>
      <c r="K292" s="102" t="s">
        <v>59</v>
      </c>
      <c r="L292" s="102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69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6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5" t="s">
        <v>693</v>
      </c>
      <c r="G310" s="175" t="s">
        <v>694</v>
      </c>
      <c r="H310" s="175" t="s">
        <v>695</v>
      </c>
      <c r="I310" s="175" t="s">
        <v>696</v>
      </c>
      <c r="J310" s="175" t="s">
        <v>697</v>
      </c>
      <c r="K310" s="175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2" t="s">
        <v>54</v>
      </c>
      <c r="G311" s="102" t="s">
        <v>55</v>
      </c>
      <c r="H311" s="102" t="s">
        <v>56</v>
      </c>
      <c r="I311" s="102" t="s">
        <v>57</v>
      </c>
      <c r="J311" s="102" t="s">
        <v>58</v>
      </c>
      <c r="K311" s="102" t="s">
        <v>59</v>
      </c>
      <c r="L311" s="102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69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6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5" t="s">
        <v>693</v>
      </c>
      <c r="G329" s="175" t="s">
        <v>694</v>
      </c>
      <c r="H329" s="175" t="s">
        <v>695</v>
      </c>
      <c r="I329" s="175" t="s">
        <v>696</v>
      </c>
      <c r="J329" s="175" t="s">
        <v>697</v>
      </c>
      <c r="K329" s="175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2" t="s">
        <v>54</v>
      </c>
      <c r="G330" s="102" t="s">
        <v>55</v>
      </c>
      <c r="H330" s="102" t="s">
        <v>56</v>
      </c>
      <c r="I330" s="102" t="s">
        <v>57</v>
      </c>
      <c r="J330" s="102" t="s">
        <v>58</v>
      </c>
      <c r="K330" s="102" t="s">
        <v>59</v>
      </c>
      <c r="L330" s="102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61258.46</v>
      </c>
      <c r="G337" s="41">
        <f t="shared" si="20"/>
        <v>2845.97</v>
      </c>
      <c r="H337" s="41">
        <f t="shared" si="20"/>
        <v>1277.17</v>
      </c>
      <c r="I337" s="41">
        <f t="shared" si="20"/>
        <v>435.56</v>
      </c>
      <c r="J337" s="41">
        <f t="shared" si="20"/>
        <v>3000</v>
      </c>
      <c r="K337" s="41">
        <f t="shared" si="20"/>
        <v>858.17</v>
      </c>
      <c r="L337" s="41">
        <f t="shared" si="20"/>
        <v>69675.33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0</v>
      </c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>
        <v>0</v>
      </c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61258.46</v>
      </c>
      <c r="G351" s="41">
        <f>G337</f>
        <v>2845.97</v>
      </c>
      <c r="H351" s="41">
        <f>H337</f>
        <v>1277.17</v>
      </c>
      <c r="I351" s="41">
        <f>I337</f>
        <v>435.56</v>
      </c>
      <c r="J351" s="41">
        <f>J337</f>
        <v>3000</v>
      </c>
      <c r="K351" s="47">
        <f>K337+K350</f>
        <v>858.17</v>
      </c>
      <c r="L351" s="41">
        <f>L337+L350</f>
        <v>69675.33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69"/>
      <c r="B352" s="37"/>
      <c r="C352" s="23"/>
      <c r="D352" s="23"/>
      <c r="E352" s="23"/>
      <c r="F352" s="66"/>
      <c r="G352" s="66"/>
      <c r="H352" s="66"/>
      <c r="I352" s="66"/>
      <c r="J352" s="66"/>
      <c r="K352" s="56"/>
      <c r="L352" s="66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5" t="s">
        <v>693</v>
      </c>
      <c r="G353" s="175" t="s">
        <v>694</v>
      </c>
      <c r="H353" s="175" t="s">
        <v>695</v>
      </c>
      <c r="I353" s="175" t="s">
        <v>696</v>
      </c>
      <c r="J353" s="175" t="s">
        <v>697</v>
      </c>
      <c r="K353" s="175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2" t="s">
        <v>54</v>
      </c>
      <c r="G354" s="102" t="s">
        <v>55</v>
      </c>
      <c r="H354" s="102" t="s">
        <v>56</v>
      </c>
      <c r="I354" s="102" t="s">
        <v>57</v>
      </c>
      <c r="J354" s="102" t="s">
        <v>58</v>
      </c>
      <c r="K354" s="102" t="s">
        <v>59</v>
      </c>
      <c r="L354" s="102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424.5</v>
      </c>
      <c r="G357" s="18">
        <v>32.479999999999997</v>
      </c>
      <c r="H357" s="18">
        <v>45063</v>
      </c>
      <c r="I357" s="18">
        <v>957.84</v>
      </c>
      <c r="J357" s="18">
        <v>0</v>
      </c>
      <c r="K357" s="18">
        <v>0</v>
      </c>
      <c r="L357" s="13">
        <f>SUM(F357:K357)</f>
        <v>46477.82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0</v>
      </c>
      <c r="G358" s="18">
        <v>0</v>
      </c>
      <c r="H358" s="18">
        <v>0</v>
      </c>
      <c r="I358" s="18">
        <v>0</v>
      </c>
      <c r="J358" s="18">
        <v>0</v>
      </c>
      <c r="K358" s="18">
        <v>0</v>
      </c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>
        <v>0</v>
      </c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424.5</v>
      </c>
      <c r="G361" s="47">
        <f t="shared" si="22"/>
        <v>32.479999999999997</v>
      </c>
      <c r="H361" s="47">
        <f t="shared" si="22"/>
        <v>45063</v>
      </c>
      <c r="I361" s="47">
        <f t="shared" si="22"/>
        <v>957.84</v>
      </c>
      <c r="J361" s="47">
        <f t="shared" si="22"/>
        <v>0</v>
      </c>
      <c r="K361" s="47">
        <f t="shared" si="22"/>
        <v>0</v>
      </c>
      <c r="L361" s="47">
        <f t="shared" si="22"/>
        <v>46477.82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0</v>
      </c>
      <c r="G366" s="18">
        <v>0</v>
      </c>
      <c r="H366" s="18">
        <v>0</v>
      </c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18">
        <f>I357</f>
        <v>957.84</v>
      </c>
      <c r="G367" s="18">
        <v>0</v>
      </c>
      <c r="H367" s="18">
        <v>0</v>
      </c>
      <c r="I367" s="56">
        <f>SUM(F367:H367)</f>
        <v>957.84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957.84</v>
      </c>
      <c r="G368" s="47">
        <f>SUM(G366:G367)</f>
        <v>0</v>
      </c>
      <c r="H368" s="47">
        <f>SUM(H366:H367)</f>
        <v>0</v>
      </c>
      <c r="I368" s="47">
        <f>SUM(I366:I367)</f>
        <v>957.84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3"/>
      <c r="G369" s="63"/>
      <c r="H369" s="63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5" t="s">
        <v>693</v>
      </c>
      <c r="G370" s="175" t="s">
        <v>694</v>
      </c>
      <c r="H370" s="175" t="s">
        <v>695</v>
      </c>
      <c r="I370" s="175" t="s">
        <v>696</v>
      </c>
      <c r="J370" s="175" t="s">
        <v>697</v>
      </c>
      <c r="K370" s="175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2" t="s">
        <v>54</v>
      </c>
      <c r="G371" s="102" t="s">
        <v>55</v>
      </c>
      <c r="H371" s="102" t="s">
        <v>56</v>
      </c>
      <c r="I371" s="102" t="s">
        <v>57</v>
      </c>
      <c r="J371" s="102" t="s">
        <v>58</v>
      </c>
      <c r="K371" s="102" t="s">
        <v>59</v>
      </c>
      <c r="L371" s="102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0</v>
      </c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8">
        <f>SUM(F373:F380)</f>
        <v>0</v>
      </c>
      <c r="G381" s="138">
        <f t="shared" ref="G381:L381" si="24">SUM(G373:G380)</f>
        <v>0</v>
      </c>
      <c r="H381" s="138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5"/>
      <c r="G382" s="65"/>
      <c r="H382" s="65"/>
      <c r="I382" s="66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5"/>
      <c r="C383" s="75"/>
      <c r="D383" s="75"/>
      <c r="E383" s="75"/>
      <c r="F383" s="65"/>
      <c r="G383" s="65"/>
      <c r="H383" s="65"/>
      <c r="I383" s="66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6" t="s">
        <v>341</v>
      </c>
      <c r="M385" s="8"/>
    </row>
    <row r="386" spans="1:13" s="3" customFormat="1" ht="12" customHeight="1" x14ac:dyDescent="0.15">
      <c r="A386" s="78" t="s">
        <v>553</v>
      </c>
      <c r="B386" s="2" t="s">
        <v>382</v>
      </c>
      <c r="C386" s="6">
        <v>1</v>
      </c>
      <c r="D386" s="2" t="s">
        <v>433</v>
      </c>
      <c r="F386" s="18">
        <v>0</v>
      </c>
      <c r="G386" s="18">
        <v>0</v>
      </c>
      <c r="H386" s="18">
        <v>0</v>
      </c>
      <c r="I386" s="18">
        <v>0</v>
      </c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8" t="s">
        <v>554</v>
      </c>
      <c r="B387" s="2" t="s">
        <v>382</v>
      </c>
      <c r="C387" s="6">
        <v>2</v>
      </c>
      <c r="D387" s="2" t="s">
        <v>433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8" t="s">
        <v>555</v>
      </c>
      <c r="B388" s="2" t="s">
        <v>382</v>
      </c>
      <c r="C388" s="6">
        <v>3</v>
      </c>
      <c r="D388" s="2" t="s">
        <v>433</v>
      </c>
      <c r="E388" s="6"/>
      <c r="F388" s="18">
        <v>0</v>
      </c>
      <c r="G388" s="18">
        <v>0</v>
      </c>
      <c r="H388" s="18">
        <v>29.78</v>
      </c>
      <c r="I388" s="18">
        <v>0</v>
      </c>
      <c r="J388" s="24" t="s">
        <v>289</v>
      </c>
      <c r="K388" s="24" t="s">
        <v>289</v>
      </c>
      <c r="L388" s="56">
        <f t="shared" si="25"/>
        <v>29.78</v>
      </c>
      <c r="M388" s="8"/>
    </row>
    <row r="389" spans="1:13" s="3" customFormat="1" ht="12" customHeight="1" x14ac:dyDescent="0.15">
      <c r="A389" s="78" t="s">
        <v>556</v>
      </c>
      <c r="B389" s="2" t="s">
        <v>382</v>
      </c>
      <c r="C389" s="6">
        <v>4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8" t="s">
        <v>557</v>
      </c>
      <c r="B390" s="2" t="s">
        <v>382</v>
      </c>
      <c r="C390" s="6">
        <v>5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8" t="s">
        <v>558</v>
      </c>
      <c r="B391" s="2" t="s">
        <v>382</v>
      </c>
      <c r="C391" s="6">
        <v>6</v>
      </c>
      <c r="D391" s="2" t="s">
        <v>433</v>
      </c>
      <c r="E391" s="6"/>
      <c r="F391" s="18">
        <v>0</v>
      </c>
      <c r="G391" s="18">
        <v>10000</v>
      </c>
      <c r="H391" s="18">
        <v>18.579999999999998</v>
      </c>
      <c r="I391" s="18">
        <v>0</v>
      </c>
      <c r="J391" s="24" t="s">
        <v>289</v>
      </c>
      <c r="K391" s="24" t="s">
        <v>289</v>
      </c>
      <c r="L391" s="56">
        <f t="shared" si="25"/>
        <v>10018.58</v>
      </c>
      <c r="M391" s="8"/>
    </row>
    <row r="392" spans="1:13" s="3" customFormat="1" ht="12" customHeight="1" thickTop="1" x14ac:dyDescent="0.15">
      <c r="A392" s="158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8">
        <f>SUM(F386:F391)</f>
        <v>0</v>
      </c>
      <c r="G392" s="138">
        <f>SUM(G386:G391)</f>
        <v>10000</v>
      </c>
      <c r="H392" s="138">
        <f>SUM(H386:H391)</f>
        <v>48.36</v>
      </c>
      <c r="I392" s="64">
        <f>SUM(I386:I391)</f>
        <v>0</v>
      </c>
      <c r="J392" s="45" t="s">
        <v>289</v>
      </c>
      <c r="K392" s="45" t="s">
        <v>289</v>
      </c>
      <c r="L392" s="47">
        <f>SUM(L386:L391)</f>
        <v>10048.36</v>
      </c>
      <c r="M392" s="8"/>
    </row>
    <row r="393" spans="1:13" s="3" customFormat="1" ht="12" customHeight="1" x14ac:dyDescent="0.15">
      <c r="A393" s="77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8" t="s">
        <v>559</v>
      </c>
      <c r="B394" s="2" t="s">
        <v>382</v>
      </c>
      <c r="C394" s="6">
        <v>8</v>
      </c>
      <c r="D394" s="2" t="s">
        <v>433</v>
      </c>
      <c r="E394" s="6"/>
      <c r="F394" s="18">
        <v>0</v>
      </c>
      <c r="G394" s="18">
        <v>0</v>
      </c>
      <c r="H394" s="18">
        <v>0</v>
      </c>
      <c r="I394" s="18">
        <v>0</v>
      </c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8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8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8" t="s">
        <v>561</v>
      </c>
      <c r="B397" s="2" t="s">
        <v>382</v>
      </c>
      <c r="C397" s="6">
        <v>11</v>
      </c>
      <c r="D397" s="2" t="s">
        <v>433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8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8" t="s">
        <v>513</v>
      </c>
      <c r="B399" s="2" t="s">
        <v>382</v>
      </c>
      <c r="C399" s="6">
        <v>13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58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 x14ac:dyDescent="0.15">
      <c r="A401" s="77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09"/>
      <c r="B402" s="2" t="s">
        <v>382</v>
      </c>
      <c r="C402" s="6">
        <v>15</v>
      </c>
      <c r="D402" s="2" t="s">
        <v>433</v>
      </c>
      <c r="E402" s="6"/>
      <c r="F402" s="18">
        <v>0</v>
      </c>
      <c r="G402" s="18">
        <v>0</v>
      </c>
      <c r="H402" s="18">
        <v>0</v>
      </c>
      <c r="I402" s="18">
        <v>0</v>
      </c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09"/>
      <c r="B403" s="2" t="s">
        <v>382</v>
      </c>
      <c r="C403" s="6">
        <v>16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09"/>
      <c r="B404" s="2" t="s">
        <v>382</v>
      </c>
      <c r="C404" s="6">
        <v>17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09"/>
      <c r="B405" s="2" t="s">
        <v>382</v>
      </c>
      <c r="C405" s="6">
        <v>18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58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7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10000</v>
      </c>
      <c r="H407" s="47">
        <f>H392+H400+H406</f>
        <v>48.36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10048.36</v>
      </c>
      <c r="M407" s="8"/>
    </row>
    <row r="408" spans="1:21" s="3" customFormat="1" ht="12" customHeight="1" x14ac:dyDescent="0.15">
      <c r="A408" s="77"/>
      <c r="B408" s="2"/>
      <c r="C408" s="6"/>
      <c r="D408" s="6"/>
      <c r="E408" s="6"/>
      <c r="F408" s="175" t="s">
        <v>693</v>
      </c>
      <c r="G408" s="175" t="s">
        <v>694</v>
      </c>
      <c r="H408" s="175" t="s">
        <v>695</v>
      </c>
      <c r="I408" s="175" t="s">
        <v>696</v>
      </c>
      <c r="J408" s="175" t="s">
        <v>697</v>
      </c>
      <c r="K408" s="175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5"/>
      <c r="C409" s="75"/>
      <c r="D409" s="75"/>
      <c r="E409" s="75"/>
      <c r="F409" s="65"/>
      <c r="G409" s="16" t="s">
        <v>385</v>
      </c>
      <c r="H409" s="16" t="s">
        <v>386</v>
      </c>
      <c r="I409" s="66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6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8" t="s">
        <v>553</v>
      </c>
      <c r="B412" s="6">
        <v>17</v>
      </c>
      <c r="C412" s="6">
        <v>1</v>
      </c>
      <c r="D412" s="2" t="s">
        <v>433</v>
      </c>
      <c r="E412" s="6"/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8" t="s">
        <v>554</v>
      </c>
      <c r="B413" s="6">
        <v>17</v>
      </c>
      <c r="C413" s="6">
        <v>2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8" t="s">
        <v>555</v>
      </c>
      <c r="B414" s="6">
        <v>17</v>
      </c>
      <c r="C414" s="6">
        <v>3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8" t="s">
        <v>556</v>
      </c>
      <c r="B415" s="6">
        <v>17</v>
      </c>
      <c r="C415" s="6">
        <v>4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8"/>
    </row>
    <row r="416" spans="1:21" s="3" customFormat="1" ht="12" customHeight="1" x14ac:dyDescent="0.15">
      <c r="A416" s="78" t="s">
        <v>557</v>
      </c>
      <c r="B416" s="6">
        <v>17</v>
      </c>
      <c r="C416" s="6">
        <v>5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</row>
    <row r="417" spans="1:21" s="3" customFormat="1" ht="12" customHeight="1" thickBot="1" x14ac:dyDescent="0.2">
      <c r="A417" s="78" t="s">
        <v>558</v>
      </c>
      <c r="B417" s="6">
        <v>17</v>
      </c>
      <c r="C417" s="6">
        <v>6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</row>
    <row r="418" spans="1:21" s="3" customFormat="1" ht="12" customHeight="1" thickTop="1" x14ac:dyDescent="0.15">
      <c r="A418" s="158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8">
        <f t="shared" ref="F418:L418" si="28">SUM(F412:F417)</f>
        <v>0</v>
      </c>
      <c r="G418" s="138">
        <f t="shared" si="28"/>
        <v>0</v>
      </c>
      <c r="H418" s="138">
        <f t="shared" si="28"/>
        <v>0</v>
      </c>
      <c r="I418" s="138">
        <f t="shared" si="28"/>
        <v>0</v>
      </c>
      <c r="J418" s="138">
        <f t="shared" si="28"/>
        <v>0</v>
      </c>
      <c r="K418" s="138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7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8" t="s">
        <v>559</v>
      </c>
      <c r="B420" s="6">
        <v>17</v>
      </c>
      <c r="C420" s="6">
        <v>8</v>
      </c>
      <c r="D420" s="2" t="s">
        <v>433</v>
      </c>
      <c r="E420" s="6"/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8" t="s">
        <v>560</v>
      </c>
      <c r="B421" s="6">
        <v>17</v>
      </c>
      <c r="C421" s="6">
        <v>9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61222.61</v>
      </c>
      <c r="L421" s="56">
        <f t="shared" si="29"/>
        <v>61222.61</v>
      </c>
      <c r="M421" s="8"/>
    </row>
    <row r="422" spans="1:21" s="3" customFormat="1" ht="12" customHeight="1" x14ac:dyDescent="0.15">
      <c r="A422" s="78" t="s">
        <v>518</v>
      </c>
      <c r="B422" s="6">
        <v>17</v>
      </c>
      <c r="C422" s="6">
        <v>10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</row>
    <row r="423" spans="1:21" s="3" customFormat="1" ht="12" customHeight="1" x14ac:dyDescent="0.15">
      <c r="A423" s="78" t="s">
        <v>561</v>
      </c>
      <c r="B423" s="6">
        <v>17</v>
      </c>
      <c r="C423" s="6">
        <v>11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</row>
    <row r="424" spans="1:21" s="3" customFormat="1" ht="12" customHeight="1" x14ac:dyDescent="0.15">
      <c r="A424" s="78" t="s">
        <v>562</v>
      </c>
      <c r="B424" s="6">
        <v>17</v>
      </c>
      <c r="C424" s="6">
        <v>12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</row>
    <row r="425" spans="1:21" s="3" customFormat="1" ht="12" customHeight="1" thickBot="1" x14ac:dyDescent="0.2">
      <c r="A425" s="78" t="s">
        <v>513</v>
      </c>
      <c r="B425" s="6">
        <v>17</v>
      </c>
      <c r="C425" s="6">
        <v>13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</row>
    <row r="426" spans="1:21" s="3" customFormat="1" ht="12" customHeight="1" thickTop="1" x14ac:dyDescent="0.15">
      <c r="A426" s="158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61222.61</v>
      </c>
      <c r="L426" s="47">
        <f t="shared" si="30"/>
        <v>61222.61</v>
      </c>
      <c r="M426" s="8"/>
    </row>
    <row r="427" spans="1:21" s="11" customFormat="1" ht="12" customHeight="1" x14ac:dyDescent="0.15">
      <c r="A427" s="77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7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09"/>
      <c r="B428" s="6">
        <v>17</v>
      </c>
      <c r="C428" s="6">
        <v>15</v>
      </c>
      <c r="D428" s="2" t="s">
        <v>433</v>
      </c>
      <c r="E428" s="6"/>
      <c r="F428" s="18">
        <v>0</v>
      </c>
      <c r="G428" s="18">
        <v>0</v>
      </c>
      <c r="H428" s="18">
        <v>0</v>
      </c>
      <c r="I428" s="18">
        <v>0</v>
      </c>
      <c r="J428" s="18">
        <v>0</v>
      </c>
      <c r="K428" s="18">
        <v>0</v>
      </c>
      <c r="L428" s="56">
        <f>SUM(F428:K428)</f>
        <v>0</v>
      </c>
      <c r="M428" s="67"/>
    </row>
    <row r="429" spans="1:21" s="58" customFormat="1" ht="12" customHeight="1" x14ac:dyDescent="0.15">
      <c r="A429" s="109"/>
      <c r="B429" s="6">
        <v>17</v>
      </c>
      <c r="C429" s="6">
        <v>16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7"/>
    </row>
    <row r="430" spans="1:21" ht="12" customHeight="1" x14ac:dyDescent="0.2">
      <c r="A430" s="109"/>
      <c r="B430" s="6">
        <v>17</v>
      </c>
      <c r="C430" s="6">
        <v>17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</row>
    <row r="431" spans="1:21" s="3" customFormat="1" ht="12" customHeight="1" thickBot="1" x14ac:dyDescent="0.2">
      <c r="A431" s="109"/>
      <c r="B431" s="6">
        <v>17</v>
      </c>
      <c r="C431" s="6">
        <v>18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M431" s="8"/>
    </row>
    <row r="432" spans="1:21" s="3" customFormat="1" ht="12" customHeight="1" thickTop="1" thickBot="1" x14ac:dyDescent="0.2">
      <c r="A432" s="158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7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61222.61</v>
      </c>
      <c r="L433" s="47">
        <f t="shared" si="32"/>
        <v>61222.61</v>
      </c>
      <c r="M433" s="8"/>
    </row>
    <row r="434" spans="1:13" s="3" customFormat="1" ht="12" customHeight="1" x14ac:dyDescent="0.15">
      <c r="A434" s="77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0</v>
      </c>
      <c r="G438" s="18">
        <v>0</v>
      </c>
      <c r="H438" s="18">
        <v>0</v>
      </c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8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f>45117.01+33429.41</f>
        <v>78546.420000000013</v>
      </c>
      <c r="G439" s="18">
        <v>0</v>
      </c>
      <c r="H439" s="18">
        <v>0</v>
      </c>
      <c r="I439" s="56">
        <f t="shared" si="33"/>
        <v>78546.420000000013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8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8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8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8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8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69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78546.420000000013</v>
      </c>
      <c r="G445" s="13">
        <f>SUM(G438:G444)</f>
        <v>0</v>
      </c>
      <c r="H445" s="13">
        <f>SUM(H438:H444)</f>
        <v>0</v>
      </c>
      <c r="I445" s="13">
        <f>SUM(I438:I444)</f>
        <v>78546.420000000013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8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8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8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8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3" t="s">
        <v>424</v>
      </c>
      <c r="B451" s="72">
        <v>18</v>
      </c>
      <c r="C451" s="70">
        <v>13</v>
      </c>
      <c r="D451" s="2" t="s">
        <v>433</v>
      </c>
      <c r="E451" s="70"/>
      <c r="F451" s="71">
        <f>SUM(F447:F450)</f>
        <v>0</v>
      </c>
      <c r="G451" s="71">
        <f>SUM(G447:G450)</f>
        <v>0</v>
      </c>
      <c r="H451" s="71">
        <f>SUM(H447:H450)</f>
        <v>0</v>
      </c>
      <c r="I451" s="71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89" t="s">
        <v>8</v>
      </c>
      <c r="B452" s="36"/>
      <c r="C452" s="74"/>
      <c r="D452" s="74"/>
      <c r="E452" s="74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>
        <v>0</v>
      </c>
      <c r="G453" s="18">
        <v>0</v>
      </c>
      <c r="H453" s="18">
        <v>0</v>
      </c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>
        <v>0</v>
      </c>
      <c r="G454" s="18">
        <v>0</v>
      </c>
      <c r="H454" s="18">
        <v>0</v>
      </c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7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f>F439</f>
        <v>78546.420000000013</v>
      </c>
      <c r="G458" s="18">
        <v>0</v>
      </c>
      <c r="H458" s="18">
        <v>0</v>
      </c>
      <c r="I458" s="56">
        <f t="shared" si="34"/>
        <v>78546.420000000013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0">
        <v>18</v>
      </c>
      <c r="C459" s="51">
        <v>20</v>
      </c>
      <c r="D459" s="48" t="s">
        <v>433</v>
      </c>
      <c r="E459" s="51"/>
      <c r="F459" s="82">
        <f>SUM(F453:F458)</f>
        <v>78546.420000000013</v>
      </c>
      <c r="G459" s="82">
        <f>SUM(G453:G458)</f>
        <v>0</v>
      </c>
      <c r="H459" s="82">
        <f>SUM(H453:H458)</f>
        <v>0</v>
      </c>
      <c r="I459" s="82">
        <f>SUM(I453:I458)</f>
        <v>78546.420000000013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0" t="s">
        <v>425</v>
      </c>
      <c r="B460" s="44">
        <v>18</v>
      </c>
      <c r="C460" s="81">
        <v>21</v>
      </c>
      <c r="D460" s="155" t="s">
        <v>433</v>
      </c>
      <c r="E460" s="81"/>
      <c r="F460" s="42">
        <f>F451+F459</f>
        <v>78546.420000000013</v>
      </c>
      <c r="G460" s="42">
        <f>G451+G459</f>
        <v>0</v>
      </c>
      <c r="H460" s="42">
        <f>H451+H459</f>
        <v>0</v>
      </c>
      <c r="I460" s="42">
        <f>I451+I459</f>
        <v>78546.420000000013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1"/>
      <c r="B461" s="74"/>
      <c r="C461" s="79"/>
      <c r="D461" s="79"/>
      <c r="E461" s="79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1" t="s">
        <v>9</v>
      </c>
      <c r="B462" s="74"/>
      <c r="C462" s="79"/>
      <c r="D462" s="79"/>
      <c r="E462" s="79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1"/>
      <c r="B463" s="74"/>
      <c r="C463" s="79"/>
      <c r="D463" s="79"/>
      <c r="E463" s="79"/>
      <c r="F463" s="83" t="s">
        <v>10</v>
      </c>
      <c r="G463" s="83" t="s">
        <v>11</v>
      </c>
      <c r="H463" s="83" t="s">
        <v>12</v>
      </c>
      <c r="I463" s="83" t="s">
        <v>13</v>
      </c>
      <c r="J463" s="83" t="s">
        <v>14</v>
      </c>
      <c r="K463" s="53"/>
      <c r="L463" s="53"/>
    </row>
    <row r="464" spans="1:23" s="52" customFormat="1" ht="12" customHeight="1" x14ac:dyDescent="0.2">
      <c r="A464" s="187" t="s">
        <v>855</v>
      </c>
      <c r="B464" s="104">
        <v>19</v>
      </c>
      <c r="C464" s="110">
        <v>1</v>
      </c>
      <c r="D464" s="2" t="s">
        <v>433</v>
      </c>
      <c r="E464" s="110"/>
      <c r="F464" s="18">
        <f>115861+9248.06</f>
        <v>125109.06</v>
      </c>
      <c r="G464" s="18">
        <v>-1819.71</v>
      </c>
      <c r="H464" s="18"/>
      <c r="I464" s="18"/>
      <c r="J464" s="18">
        <v>129720.67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3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2" t="s">
        <v>614</v>
      </c>
      <c r="B467" s="74">
        <v>19</v>
      </c>
      <c r="C467" s="79">
        <v>2</v>
      </c>
      <c r="D467" s="2" t="s">
        <v>433</v>
      </c>
      <c r="E467" s="79"/>
      <c r="F467" s="18">
        <f>F192</f>
        <v>4771100.4099999992</v>
      </c>
      <c r="G467" s="18">
        <f t="shared" ref="G467:J467" si="35">G192</f>
        <v>50737.45</v>
      </c>
      <c r="H467" s="18">
        <f t="shared" si="35"/>
        <v>69675.33</v>
      </c>
      <c r="I467" s="18">
        <f t="shared" si="35"/>
        <v>0</v>
      </c>
      <c r="J467" s="18">
        <f t="shared" si="35"/>
        <v>10048.36</v>
      </c>
      <c r="K467" s="24" t="s">
        <v>289</v>
      </c>
      <c r="L467" s="24" t="s">
        <v>289</v>
      </c>
    </row>
    <row r="468" spans="1:12" s="52" customFormat="1" ht="12" customHeight="1" x14ac:dyDescent="0.2">
      <c r="A468" s="92" t="s">
        <v>615</v>
      </c>
      <c r="B468" s="74">
        <v>19</v>
      </c>
      <c r="C468" s="79">
        <v>3</v>
      </c>
      <c r="D468" s="2" t="s">
        <v>433</v>
      </c>
      <c r="E468" s="79"/>
      <c r="F468" s="18">
        <v>0</v>
      </c>
      <c r="G468" s="18">
        <v>0</v>
      </c>
      <c r="H468" s="18">
        <v>0</v>
      </c>
      <c r="I468" s="18">
        <v>0</v>
      </c>
      <c r="J468" s="18">
        <v>0</v>
      </c>
      <c r="K468" s="24" t="s">
        <v>289</v>
      </c>
      <c r="L468" s="24" t="s">
        <v>289</v>
      </c>
    </row>
    <row r="469" spans="1:12" s="52" customFormat="1" ht="12" customHeight="1" x14ac:dyDescent="0.2">
      <c r="A469" s="91" t="s">
        <v>426</v>
      </c>
      <c r="B469" s="74">
        <v>19</v>
      </c>
      <c r="C469" s="79">
        <v>4</v>
      </c>
      <c r="D469" s="2" t="s">
        <v>433</v>
      </c>
      <c r="E469" s="79"/>
      <c r="F469" s="53">
        <f>SUM(F467:F468)</f>
        <v>4771100.4099999992</v>
      </c>
      <c r="G469" s="53">
        <f>SUM(G467:G468)</f>
        <v>50737.45</v>
      </c>
      <c r="H469" s="53">
        <f>SUM(H467:H468)</f>
        <v>69675.33</v>
      </c>
      <c r="I469" s="53">
        <f>SUM(I467:I468)</f>
        <v>0</v>
      </c>
      <c r="J469" s="53">
        <f>SUM(J467:J468)</f>
        <v>10048.36</v>
      </c>
      <c r="K469" s="24" t="s">
        <v>289</v>
      </c>
      <c r="L469" s="24" t="s">
        <v>289</v>
      </c>
    </row>
    <row r="470" spans="1:12" s="52" customFormat="1" ht="12" customHeight="1" x14ac:dyDescent="0.2">
      <c r="A470" s="93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2" t="s">
        <v>616</v>
      </c>
      <c r="B471" s="74">
        <v>19</v>
      </c>
      <c r="C471" s="79">
        <v>5</v>
      </c>
      <c r="D471" s="2" t="s">
        <v>433</v>
      </c>
      <c r="E471" s="79"/>
      <c r="F471" s="18">
        <f>L270</f>
        <v>4731393.05</v>
      </c>
      <c r="G471" s="18">
        <f>L361</f>
        <v>46477.82</v>
      </c>
      <c r="H471" s="18">
        <f>L351</f>
        <v>69675.33</v>
      </c>
      <c r="I471" s="18">
        <v>0</v>
      </c>
      <c r="J471" s="18">
        <f>L433</f>
        <v>61222.61</v>
      </c>
      <c r="K471" s="24" t="s">
        <v>289</v>
      </c>
      <c r="L471" s="24" t="s">
        <v>289</v>
      </c>
    </row>
    <row r="472" spans="1:12" s="52" customFormat="1" ht="12" customHeight="1" x14ac:dyDescent="0.2">
      <c r="A472" s="92" t="s">
        <v>617</v>
      </c>
      <c r="B472" s="74">
        <v>19</v>
      </c>
      <c r="C472" s="79">
        <v>6</v>
      </c>
      <c r="D472" s="2" t="s">
        <v>433</v>
      </c>
      <c r="E472" s="79"/>
      <c r="F472" s="18">
        <v>0</v>
      </c>
      <c r="G472" s="18">
        <v>0</v>
      </c>
      <c r="H472" s="18">
        <v>0</v>
      </c>
      <c r="I472" s="18">
        <v>0</v>
      </c>
      <c r="J472" s="18">
        <v>0</v>
      </c>
      <c r="K472" s="24" t="s">
        <v>289</v>
      </c>
      <c r="L472" s="24" t="s">
        <v>289</v>
      </c>
    </row>
    <row r="473" spans="1:12" s="52" customFormat="1" ht="12" customHeight="1" x14ac:dyDescent="0.2">
      <c r="A473" s="91" t="s">
        <v>427</v>
      </c>
      <c r="B473" s="74">
        <v>19</v>
      </c>
      <c r="C473" s="79">
        <v>7</v>
      </c>
      <c r="D473" s="2" t="s">
        <v>433</v>
      </c>
      <c r="E473" s="79"/>
      <c r="F473" s="53">
        <f>SUM(F471:F472)</f>
        <v>4731393.05</v>
      </c>
      <c r="G473" s="53">
        <f>SUM(G471:G472)</f>
        <v>46477.82</v>
      </c>
      <c r="H473" s="53">
        <f>SUM(H471:H472)</f>
        <v>69675.33</v>
      </c>
      <c r="I473" s="53">
        <f>SUM(I471:I472)</f>
        <v>0</v>
      </c>
      <c r="J473" s="53">
        <f>SUM(J471:J472)</f>
        <v>61222.61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88" t="s">
        <v>856</v>
      </c>
      <c r="B475" s="74">
        <v>19</v>
      </c>
      <c r="C475" s="114">
        <v>8</v>
      </c>
      <c r="D475" s="2" t="s">
        <v>433</v>
      </c>
      <c r="E475" s="114"/>
      <c r="F475" s="53">
        <f>(F464+F469)- F473</f>
        <v>164816.41999999899</v>
      </c>
      <c r="G475" s="53">
        <f>(G464+G469)- G473</f>
        <v>2439.9199999999983</v>
      </c>
      <c r="H475" s="53">
        <f>(H464+H469)- H473</f>
        <v>0</v>
      </c>
      <c r="I475" s="53">
        <f>(I464+I469)- I473</f>
        <v>0</v>
      </c>
      <c r="J475" s="53">
        <f>(J464+J469)- J473</f>
        <v>78546.42</v>
      </c>
      <c r="K475" s="24" t="s">
        <v>289</v>
      </c>
      <c r="L475" s="24" t="s">
        <v>289</v>
      </c>
    </row>
    <row r="476" spans="1:12" s="52" customFormat="1" ht="12" customHeight="1" x14ac:dyDescent="0.2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</row>
    <row r="477" spans="1:12" s="52" customFormat="1" ht="12" customHeight="1" x14ac:dyDescent="0.2">
      <c r="A477" s="94" t="s">
        <v>661</v>
      </c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</row>
    <row r="478" spans="1:12" s="52" customFormat="1" ht="12" customHeight="1" x14ac:dyDescent="0.2">
      <c r="A478" s="94" t="s">
        <v>699</v>
      </c>
      <c r="B478" s="111"/>
      <c r="C478" s="111"/>
      <c r="D478" s="111"/>
      <c r="E478" s="111"/>
      <c r="F478" s="111"/>
      <c r="G478" s="111"/>
      <c r="H478" s="111"/>
      <c r="I478" s="111" t="s">
        <v>17</v>
      </c>
      <c r="J478" s="111"/>
      <c r="K478" s="94"/>
      <c r="L478" s="94"/>
    </row>
    <row r="479" spans="1:12" s="52" customFormat="1" ht="12" customHeight="1" x14ac:dyDescent="0.2">
      <c r="A479" s="18"/>
      <c r="B479" s="111"/>
      <c r="C479" s="111"/>
      <c r="D479" s="111"/>
      <c r="E479" s="111"/>
      <c r="F479" s="111"/>
      <c r="G479" s="111"/>
      <c r="H479" s="111"/>
      <c r="I479" s="111" t="s">
        <v>402</v>
      </c>
      <c r="J479" s="111"/>
      <c r="K479" s="94"/>
      <c r="L479" s="94"/>
    </row>
    <row r="480" spans="1:12" s="52" customFormat="1" ht="12" customHeight="1" x14ac:dyDescent="0.2">
      <c r="A480" s="173"/>
      <c r="B480" s="111"/>
      <c r="C480" s="111"/>
      <c r="D480" s="111"/>
      <c r="E480" s="111"/>
      <c r="F480" s="111"/>
      <c r="G480" s="111"/>
      <c r="H480" s="111"/>
      <c r="I480" s="111" t="s">
        <v>654</v>
      </c>
      <c r="J480" s="111"/>
      <c r="K480" s="94"/>
      <c r="L480" s="94"/>
    </row>
    <row r="481" spans="1:12" s="52" customFormat="1" ht="12" customHeight="1" x14ac:dyDescent="0.2">
      <c r="A481" s="94" t="s">
        <v>700</v>
      </c>
      <c r="B481" s="111"/>
      <c r="C481" s="111"/>
      <c r="D481" s="111"/>
      <c r="E481" s="111"/>
      <c r="F481" s="111"/>
      <c r="G481" s="111"/>
      <c r="H481" s="111"/>
      <c r="I481" s="111" t="s">
        <v>474</v>
      </c>
      <c r="J481" s="111"/>
      <c r="K481" s="94"/>
      <c r="L481" s="94"/>
    </row>
    <row r="482" spans="1:12" s="52" customFormat="1" ht="12" customHeight="1" x14ac:dyDescent="0.2">
      <c r="A482" s="172"/>
      <c r="B482" s="111"/>
      <c r="C482" s="111"/>
      <c r="D482" s="111"/>
      <c r="E482" s="111"/>
      <c r="F482" s="111"/>
      <c r="G482" s="111"/>
      <c r="H482" s="111"/>
      <c r="I482" s="111" t="s">
        <v>18</v>
      </c>
      <c r="J482" s="111"/>
      <c r="K482" s="94"/>
      <c r="L482" s="94"/>
    </row>
    <row r="483" spans="1:12" s="52" customFormat="1" ht="12" customHeight="1" x14ac:dyDescent="0.2">
      <c r="A483" s="172"/>
      <c r="B483" s="111"/>
      <c r="C483" s="111"/>
      <c r="D483" s="111"/>
      <c r="E483" s="111"/>
      <c r="F483" s="111"/>
      <c r="G483" s="111"/>
      <c r="H483" s="111"/>
      <c r="I483" s="111" t="s">
        <v>475</v>
      </c>
      <c r="J483" s="111"/>
      <c r="K483" s="94"/>
      <c r="L483" s="94"/>
    </row>
    <row r="484" spans="1:12" s="52" customFormat="1" ht="12" customHeight="1" x14ac:dyDescent="0.2">
      <c r="A484" s="172"/>
      <c r="B484" s="111"/>
      <c r="C484" s="111"/>
      <c r="D484" s="111"/>
      <c r="E484" s="111"/>
      <c r="F484" s="111"/>
      <c r="G484" s="111"/>
      <c r="H484" s="111"/>
      <c r="I484" s="111" t="s">
        <v>476</v>
      </c>
      <c r="J484" s="111"/>
      <c r="K484" s="94"/>
      <c r="L484" s="94"/>
    </row>
    <row r="485" spans="1:12" s="52" customFormat="1" ht="12" customHeight="1" x14ac:dyDescent="0.2">
      <c r="A485" s="22"/>
      <c r="B485" s="111"/>
      <c r="C485" s="111"/>
      <c r="D485" s="111"/>
      <c r="E485" s="111"/>
      <c r="F485" s="111"/>
      <c r="G485" s="111"/>
      <c r="H485" s="111"/>
      <c r="I485" s="111"/>
      <c r="J485" s="111"/>
      <c r="K485" s="94"/>
      <c r="L485" s="94"/>
    </row>
    <row r="486" spans="1:12" s="52" customFormat="1" ht="12" customHeight="1" x14ac:dyDescent="0.2">
      <c r="A486" s="95" t="s">
        <v>19</v>
      </c>
      <c r="B486" s="104"/>
      <c r="C486" s="114"/>
      <c r="D486" s="114"/>
      <c r="E486" s="114"/>
      <c r="F486" s="115"/>
      <c r="G486" s="115"/>
      <c r="H486" s="115"/>
      <c r="I486" s="115"/>
      <c r="J486" s="115"/>
      <c r="K486" s="115"/>
      <c r="L486" s="115"/>
    </row>
    <row r="487" spans="1:12" s="52" customFormat="1" ht="12" customHeight="1" x14ac:dyDescent="0.2">
      <c r="A487" s="189" t="s">
        <v>857</v>
      </c>
      <c r="B487" s="104"/>
      <c r="C487" s="114"/>
      <c r="D487" s="114"/>
      <c r="E487" s="114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5"/>
    </row>
    <row r="488" spans="1:12" s="52" customFormat="1" ht="12" customHeight="1" x14ac:dyDescent="0.2">
      <c r="A488" s="95" t="s">
        <v>21</v>
      </c>
      <c r="B488" s="104"/>
      <c r="C488" s="114"/>
      <c r="D488" s="114"/>
      <c r="E488" s="114"/>
      <c r="F488" s="116" t="s">
        <v>22</v>
      </c>
      <c r="G488" s="116" t="s">
        <v>23</v>
      </c>
      <c r="H488" s="116" t="s">
        <v>24</v>
      </c>
      <c r="I488" s="116" t="s">
        <v>25</v>
      </c>
      <c r="J488" s="116" t="s">
        <v>26</v>
      </c>
      <c r="K488" s="116" t="s">
        <v>341</v>
      </c>
      <c r="L488" s="115"/>
    </row>
    <row r="489" spans="1:12" s="52" customFormat="1" ht="12" customHeight="1" x14ac:dyDescent="0.2">
      <c r="A489" s="22" t="s">
        <v>618</v>
      </c>
      <c r="B489" s="74">
        <v>20</v>
      </c>
      <c r="C489" s="114">
        <v>1</v>
      </c>
      <c r="D489" s="2" t="s">
        <v>433</v>
      </c>
      <c r="E489" s="114"/>
      <c r="F489" s="152">
        <v>0</v>
      </c>
      <c r="G489" s="152">
        <v>0</v>
      </c>
      <c r="H489" s="152">
        <v>0</v>
      </c>
      <c r="I489" s="152">
        <v>0</v>
      </c>
      <c r="J489" s="152">
        <v>0</v>
      </c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4">
        <v>20</v>
      </c>
      <c r="C490" s="114">
        <v>2</v>
      </c>
      <c r="D490" s="2" t="s">
        <v>433</v>
      </c>
      <c r="E490" s="114"/>
      <c r="F490" s="153" t="s">
        <v>909</v>
      </c>
      <c r="G490" s="153" t="s">
        <v>909</v>
      </c>
      <c r="H490" s="153" t="s">
        <v>909</v>
      </c>
      <c r="I490" s="153" t="s">
        <v>909</v>
      </c>
      <c r="J490" s="153" t="s">
        <v>909</v>
      </c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4">
        <v>20</v>
      </c>
      <c r="C491" s="114">
        <v>3</v>
      </c>
      <c r="D491" s="2" t="s">
        <v>433</v>
      </c>
      <c r="E491" s="114"/>
      <c r="F491" s="153" t="s">
        <v>909</v>
      </c>
      <c r="G491" s="153" t="s">
        <v>909</v>
      </c>
      <c r="H491" s="153" t="s">
        <v>909</v>
      </c>
      <c r="I491" s="153" t="s">
        <v>909</v>
      </c>
      <c r="J491" s="153" t="s">
        <v>909</v>
      </c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4">
        <v>20</v>
      </c>
      <c r="C492" s="114">
        <v>4</v>
      </c>
      <c r="D492" s="2" t="s">
        <v>433</v>
      </c>
      <c r="E492" s="114"/>
      <c r="F492" s="18">
        <v>0</v>
      </c>
      <c r="G492" s="18">
        <v>0</v>
      </c>
      <c r="H492" s="18">
        <v>0</v>
      </c>
      <c r="I492" s="18">
        <v>0</v>
      </c>
      <c r="J492" s="18">
        <v>0</v>
      </c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4">
        <v>20</v>
      </c>
      <c r="C493" s="114">
        <v>5</v>
      </c>
      <c r="D493" s="2" t="s">
        <v>433</v>
      </c>
      <c r="E493" s="114"/>
      <c r="F493" s="18">
        <v>0</v>
      </c>
      <c r="G493" s="18">
        <v>0</v>
      </c>
      <c r="H493" s="18">
        <v>0</v>
      </c>
      <c r="I493" s="18">
        <v>0</v>
      </c>
      <c r="J493" s="18">
        <v>0</v>
      </c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4">
        <v>20</v>
      </c>
      <c r="C494" s="114">
        <v>6</v>
      </c>
      <c r="D494" s="2" t="s">
        <v>433</v>
      </c>
      <c r="E494" s="114"/>
      <c r="F494" s="18">
        <v>0</v>
      </c>
      <c r="G494" s="18">
        <v>0</v>
      </c>
      <c r="H494" s="18">
        <v>0</v>
      </c>
      <c r="I494" s="18">
        <v>0</v>
      </c>
      <c r="J494" s="18">
        <v>0</v>
      </c>
      <c r="K494" s="53">
        <f>SUM(F494:J494)</f>
        <v>0</v>
      </c>
      <c r="L494" s="24" t="s">
        <v>289</v>
      </c>
    </row>
    <row r="495" spans="1:12" s="52" customFormat="1" ht="12" customHeight="1" x14ac:dyDescent="0.2">
      <c r="A495" s="22" t="s">
        <v>624</v>
      </c>
      <c r="B495" s="74">
        <v>20</v>
      </c>
      <c r="C495" s="114">
        <v>7</v>
      </c>
      <c r="D495" s="2" t="s">
        <v>433</v>
      </c>
      <c r="E495" s="114"/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53">
        <f t="shared" ref="K495:K502" si="36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4">
        <v>20</v>
      </c>
      <c r="C496" s="114">
        <v>8</v>
      </c>
      <c r="D496" s="2" t="s">
        <v>433</v>
      </c>
      <c r="E496" s="114"/>
      <c r="F496" s="18">
        <v>0</v>
      </c>
      <c r="G496" s="18">
        <v>0</v>
      </c>
      <c r="H496" s="18">
        <v>0</v>
      </c>
      <c r="I496" s="18">
        <v>0</v>
      </c>
      <c r="J496" s="18">
        <v>0</v>
      </c>
      <c r="K496" s="53">
        <f t="shared" si="36"/>
        <v>0</v>
      </c>
      <c r="L496" s="24" t="s">
        <v>289</v>
      </c>
    </row>
    <row r="497" spans="1:12" s="52" customFormat="1" ht="12" customHeight="1" x14ac:dyDescent="0.2">
      <c r="A497" s="199" t="s">
        <v>626</v>
      </c>
      <c r="B497" s="200">
        <v>20</v>
      </c>
      <c r="C497" s="201">
        <v>9</v>
      </c>
      <c r="D497" s="202" t="s">
        <v>433</v>
      </c>
      <c r="E497" s="201"/>
      <c r="F497" s="203">
        <v>0</v>
      </c>
      <c r="G497" s="203">
        <v>0</v>
      </c>
      <c r="H497" s="203">
        <v>0</v>
      </c>
      <c r="I497" s="203">
        <v>0</v>
      </c>
      <c r="J497" s="203">
        <v>0</v>
      </c>
      <c r="K497" s="204">
        <f t="shared" si="36"/>
        <v>0</v>
      </c>
      <c r="L497" s="205" t="s">
        <v>289</v>
      </c>
    </row>
    <row r="498" spans="1:12" s="52" customFormat="1" ht="12" customHeight="1" thickBot="1" x14ac:dyDescent="0.25">
      <c r="A498" s="22" t="s">
        <v>627</v>
      </c>
      <c r="B498" s="74">
        <v>20</v>
      </c>
      <c r="C498" s="114">
        <v>10</v>
      </c>
      <c r="D498" s="2" t="s">
        <v>433</v>
      </c>
      <c r="E498" s="114"/>
      <c r="F498" s="18">
        <v>0</v>
      </c>
      <c r="G498" s="18">
        <v>0</v>
      </c>
      <c r="H498" s="18">
        <v>0</v>
      </c>
      <c r="I498" s="18">
        <v>0</v>
      </c>
      <c r="J498" s="18">
        <v>0</v>
      </c>
      <c r="K498" s="53">
        <f t="shared" si="36"/>
        <v>0</v>
      </c>
      <c r="L498" s="24" t="s">
        <v>289</v>
      </c>
    </row>
    <row r="499" spans="1:12" s="52" customFormat="1" ht="12" customHeight="1" thickTop="1" x14ac:dyDescent="0.2">
      <c r="A499" s="138" t="s">
        <v>628</v>
      </c>
      <c r="B499" s="44">
        <v>20</v>
      </c>
      <c r="C499" s="194">
        <v>11</v>
      </c>
      <c r="D499" s="39" t="s">
        <v>433</v>
      </c>
      <c r="E499" s="194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6"/>
        <v>0</v>
      </c>
      <c r="L499" s="45" t="s">
        <v>289</v>
      </c>
    </row>
    <row r="500" spans="1:12" s="52" customFormat="1" ht="12" customHeight="1" x14ac:dyDescent="0.2">
      <c r="A500" s="199" t="s">
        <v>655</v>
      </c>
      <c r="B500" s="200">
        <v>20</v>
      </c>
      <c r="C500" s="201">
        <v>12</v>
      </c>
      <c r="D500" s="202" t="s">
        <v>433</v>
      </c>
      <c r="E500" s="201"/>
      <c r="F500" s="203">
        <v>0</v>
      </c>
      <c r="G500" s="203">
        <v>0</v>
      </c>
      <c r="H500" s="203">
        <v>0</v>
      </c>
      <c r="I500" s="203">
        <v>0</v>
      </c>
      <c r="J500" s="203">
        <v>0</v>
      </c>
      <c r="K500" s="204">
        <f t="shared" si="36"/>
        <v>0</v>
      </c>
      <c r="L500" s="205" t="s">
        <v>289</v>
      </c>
    </row>
    <row r="501" spans="1:12" s="52" customFormat="1" ht="12" customHeight="1" thickBot="1" x14ac:dyDescent="0.25">
      <c r="A501" s="22" t="s">
        <v>629</v>
      </c>
      <c r="B501" s="74">
        <v>20</v>
      </c>
      <c r="C501" s="114">
        <v>13</v>
      </c>
      <c r="D501" s="2" t="s">
        <v>433</v>
      </c>
      <c r="E501" s="114"/>
      <c r="F501" s="18">
        <v>0</v>
      </c>
      <c r="G501" s="18">
        <v>0</v>
      </c>
      <c r="H501" s="18">
        <v>0</v>
      </c>
      <c r="I501" s="18">
        <v>0</v>
      </c>
      <c r="J501" s="18">
        <v>0</v>
      </c>
      <c r="K501" s="53">
        <f t="shared" si="36"/>
        <v>0</v>
      </c>
      <c r="L501" s="24" t="s">
        <v>289</v>
      </c>
    </row>
    <row r="502" spans="1:12" s="52" customFormat="1" ht="12" customHeight="1" thickTop="1" x14ac:dyDescent="0.2">
      <c r="A502" s="138" t="s">
        <v>630</v>
      </c>
      <c r="B502" s="44">
        <v>20</v>
      </c>
      <c r="C502" s="194">
        <v>14</v>
      </c>
      <c r="D502" s="39" t="s">
        <v>433</v>
      </c>
      <c r="E502" s="194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6"/>
        <v>0</v>
      </c>
      <c r="L502" s="45" t="s">
        <v>289</v>
      </c>
    </row>
    <row r="503" spans="1:12" s="52" customFormat="1" ht="12" customHeight="1" x14ac:dyDescent="0.2">
      <c r="A503" s="95"/>
      <c r="B503" s="104"/>
      <c r="C503" s="114"/>
      <c r="D503" s="114"/>
      <c r="E503" s="114"/>
      <c r="F503" s="102"/>
      <c r="G503" s="102"/>
      <c r="H503" s="105"/>
      <c r="I503" s="105"/>
      <c r="J503" s="105"/>
      <c r="K503" s="105"/>
      <c r="L503" s="105"/>
    </row>
    <row r="504" spans="1:12" s="52" customFormat="1" ht="12" customHeight="1" x14ac:dyDescent="0.2"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</row>
    <row r="505" spans="1:12" s="52" customFormat="1" ht="12" customHeight="1" x14ac:dyDescent="0.2">
      <c r="B505" s="104"/>
      <c r="F505" s="52" t="s">
        <v>41</v>
      </c>
      <c r="G505" s="102" t="s">
        <v>42</v>
      </c>
      <c r="H505" s="102" t="s">
        <v>43</v>
      </c>
      <c r="I505" s="105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5" t="s">
        <v>40</v>
      </c>
      <c r="B506" s="104">
        <v>20</v>
      </c>
      <c r="C506" s="114">
        <v>15</v>
      </c>
      <c r="D506" s="2" t="s">
        <v>433</v>
      </c>
      <c r="E506" s="114"/>
      <c r="F506" s="143"/>
      <c r="G506" s="143"/>
      <c r="H506" s="143"/>
      <c r="I506" s="143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5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5" t="s">
        <v>858</v>
      </c>
      <c r="B508" s="22"/>
      <c r="C508" s="22"/>
      <c r="D508" s="22"/>
      <c r="E508" s="22"/>
      <c r="F508" s="121" t="s">
        <v>46</v>
      </c>
      <c r="G508" s="121"/>
      <c r="H508" s="122" t="s">
        <v>47</v>
      </c>
      <c r="I508" s="122"/>
      <c r="J508" s="53"/>
      <c r="K508" s="53"/>
      <c r="L508" s="53"/>
    </row>
    <row r="509" spans="1:12" s="52" customFormat="1" ht="12" customHeight="1" x14ac:dyDescent="0.2">
      <c r="A509" s="95"/>
      <c r="B509" s="22"/>
      <c r="C509" s="22"/>
      <c r="D509" s="22"/>
      <c r="E509" s="22"/>
      <c r="F509" s="112" t="s">
        <v>48</v>
      </c>
      <c r="G509" s="112" t="s">
        <v>49</v>
      </c>
      <c r="H509" s="113" t="s">
        <v>48</v>
      </c>
      <c r="I509" s="113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4">
        <v>20</v>
      </c>
      <c r="C510" s="114">
        <v>16</v>
      </c>
      <c r="D510" s="2" t="s">
        <v>433</v>
      </c>
      <c r="E510" s="114">
        <v>210</v>
      </c>
      <c r="F510" s="18">
        <v>0</v>
      </c>
      <c r="G510" s="24" t="s">
        <v>289</v>
      </c>
      <c r="H510" s="18">
        <v>0</v>
      </c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4">
        <v>20</v>
      </c>
      <c r="C511" s="114">
        <v>17</v>
      </c>
      <c r="D511" s="2" t="s">
        <v>433</v>
      </c>
      <c r="E511" s="114">
        <v>220</v>
      </c>
      <c r="F511" s="18">
        <v>0</v>
      </c>
      <c r="G511" s="24" t="s">
        <v>289</v>
      </c>
      <c r="H511" s="18">
        <v>0</v>
      </c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4">
        <v>20</v>
      </c>
      <c r="C512" s="114">
        <v>18</v>
      </c>
      <c r="D512" s="2" t="s">
        <v>433</v>
      </c>
      <c r="E512" s="114">
        <v>230</v>
      </c>
      <c r="F512" s="18">
        <v>0</v>
      </c>
      <c r="G512" s="24" t="s">
        <v>289</v>
      </c>
      <c r="H512" s="18">
        <v>0</v>
      </c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4">
        <v>20</v>
      </c>
      <c r="C513" s="114">
        <v>19</v>
      </c>
      <c r="D513" s="2" t="s">
        <v>433</v>
      </c>
      <c r="E513" s="114">
        <v>240</v>
      </c>
      <c r="F513" s="18">
        <v>0</v>
      </c>
      <c r="G513" s="24" t="s">
        <v>289</v>
      </c>
      <c r="H513" s="18">
        <v>0</v>
      </c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4">
        <v>20</v>
      </c>
      <c r="C514" s="114">
        <v>20</v>
      </c>
      <c r="D514" s="2" t="s">
        <v>433</v>
      </c>
      <c r="E514" s="114">
        <v>250</v>
      </c>
      <c r="F514" s="18">
        <v>0</v>
      </c>
      <c r="G514" s="24" t="s">
        <v>289</v>
      </c>
      <c r="H514" s="18">
        <v>0</v>
      </c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4">
        <v>20</v>
      </c>
      <c r="C515" s="114">
        <v>21</v>
      </c>
      <c r="D515" s="2" t="s">
        <v>433</v>
      </c>
      <c r="E515" s="114">
        <v>710</v>
      </c>
      <c r="F515" s="24" t="s">
        <v>289</v>
      </c>
      <c r="G515" s="18">
        <v>0</v>
      </c>
      <c r="H515" s="24" t="s">
        <v>289</v>
      </c>
      <c r="I515" s="18">
        <v>0</v>
      </c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5" t="s">
        <v>428</v>
      </c>
      <c r="B516" s="74">
        <v>20</v>
      </c>
      <c r="C516" s="114">
        <v>22</v>
      </c>
      <c r="D516" s="2" t="s">
        <v>433</v>
      </c>
      <c r="E516" s="114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5" t="s">
        <v>702</v>
      </c>
      <c r="B517" s="104"/>
      <c r="C517" s="114"/>
      <c r="D517" s="114"/>
      <c r="E517" s="114"/>
      <c r="F517" s="175" t="s">
        <v>693</v>
      </c>
      <c r="G517" s="175" t="s">
        <v>694</v>
      </c>
      <c r="H517" s="175" t="s">
        <v>695</v>
      </c>
      <c r="I517" s="175" t="s">
        <v>696</v>
      </c>
      <c r="J517" s="175" t="s">
        <v>697</v>
      </c>
      <c r="K517" s="175" t="s">
        <v>698</v>
      </c>
      <c r="L517" s="105"/>
    </row>
    <row r="518" spans="1:13" s="52" customFormat="1" ht="12" customHeight="1" x14ac:dyDescent="0.2">
      <c r="A518" s="176" t="s">
        <v>701</v>
      </c>
      <c r="B518" s="104"/>
      <c r="C518" s="114"/>
      <c r="D518" s="114"/>
      <c r="E518" s="114"/>
      <c r="F518" s="102" t="s">
        <v>54</v>
      </c>
      <c r="G518" s="102" t="s">
        <v>55</v>
      </c>
      <c r="H518" s="105" t="s">
        <v>56</v>
      </c>
      <c r="I518" s="105" t="s">
        <v>57</v>
      </c>
      <c r="J518" s="105" t="s">
        <v>58</v>
      </c>
      <c r="K518" s="105" t="s">
        <v>59</v>
      </c>
      <c r="L518" s="105" t="s">
        <v>5</v>
      </c>
    </row>
    <row r="519" spans="1:13" s="52" customFormat="1" ht="12" customHeight="1" x14ac:dyDescent="0.2">
      <c r="A519" s="95" t="s">
        <v>60</v>
      </c>
      <c r="B519" s="104"/>
      <c r="C519" s="114"/>
      <c r="D519" s="114"/>
      <c r="E519" s="114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4">
        <v>21</v>
      </c>
      <c r="C520" s="114">
        <v>1</v>
      </c>
      <c r="D520" s="2" t="s">
        <v>433</v>
      </c>
      <c r="E520" s="114"/>
      <c r="F520" s="18">
        <v>342018.02</v>
      </c>
      <c r="G520" s="18">
        <v>108180.96</v>
      </c>
      <c r="H520" s="18">
        <v>77131.95</v>
      </c>
      <c r="I520" s="18">
        <v>3392.97</v>
      </c>
      <c r="J520" s="18">
        <v>4219.12</v>
      </c>
      <c r="K520" s="18">
        <v>0</v>
      </c>
      <c r="L520" s="87">
        <f>SUM(F520:K520)</f>
        <v>534943.02</v>
      </c>
    </row>
    <row r="521" spans="1:13" s="52" customFormat="1" ht="12" customHeight="1" x14ac:dyDescent="0.2">
      <c r="A521" s="22" t="s">
        <v>638</v>
      </c>
      <c r="B521" s="104">
        <v>21</v>
      </c>
      <c r="C521" s="114">
        <v>2</v>
      </c>
      <c r="D521" s="2" t="s">
        <v>433</v>
      </c>
      <c r="E521" s="114"/>
      <c r="F521" s="18">
        <v>0</v>
      </c>
      <c r="G521" s="18">
        <v>0</v>
      </c>
      <c r="H521" s="18">
        <v>53726.36</v>
      </c>
      <c r="I521" s="18">
        <v>0</v>
      </c>
      <c r="J521" s="18">
        <v>0</v>
      </c>
      <c r="K521" s="18">
        <v>0</v>
      </c>
      <c r="L521" s="87">
        <f>SUM(F521:K521)</f>
        <v>53726.36</v>
      </c>
    </row>
    <row r="522" spans="1:13" s="52" customFormat="1" ht="12" customHeight="1" thickBot="1" x14ac:dyDescent="0.25">
      <c r="A522" s="22" t="s">
        <v>639</v>
      </c>
      <c r="B522" s="104">
        <v>21</v>
      </c>
      <c r="C522" s="114">
        <v>3</v>
      </c>
      <c r="D522" s="2" t="s">
        <v>433</v>
      </c>
      <c r="E522" s="114"/>
      <c r="F522" s="18">
        <v>0</v>
      </c>
      <c r="G522" s="18">
        <v>0</v>
      </c>
      <c r="H522" s="18">
        <v>87382.38</v>
      </c>
      <c r="I522" s="18">
        <v>0</v>
      </c>
      <c r="J522" s="18">
        <v>0</v>
      </c>
      <c r="K522" s="18">
        <v>0</v>
      </c>
      <c r="L522" s="87">
        <f>SUM(F522:K522)</f>
        <v>87382.38</v>
      </c>
    </row>
    <row r="523" spans="1:13" s="52" customFormat="1" ht="12" customHeight="1" thickTop="1" x14ac:dyDescent="0.2">
      <c r="A523" s="138" t="s">
        <v>63</v>
      </c>
      <c r="B523" s="106">
        <v>21</v>
      </c>
      <c r="C523" s="194">
        <v>4</v>
      </c>
      <c r="D523" s="195" t="s">
        <v>433</v>
      </c>
      <c r="E523" s="194"/>
      <c r="F523" s="107">
        <f>SUM(F520:F522)</f>
        <v>342018.02</v>
      </c>
      <c r="G523" s="107">
        <f t="shared" ref="G523:L523" si="37">SUM(G520:G522)</f>
        <v>108180.96</v>
      </c>
      <c r="H523" s="107">
        <f t="shared" si="37"/>
        <v>218240.69</v>
      </c>
      <c r="I523" s="107">
        <f t="shared" si="37"/>
        <v>3392.97</v>
      </c>
      <c r="J523" s="107">
        <f t="shared" si="37"/>
        <v>4219.12</v>
      </c>
      <c r="K523" s="107">
        <f t="shared" si="37"/>
        <v>0</v>
      </c>
      <c r="L523" s="88">
        <f t="shared" si="37"/>
        <v>676051.76</v>
      </c>
    </row>
    <row r="524" spans="1:13" s="52" customFormat="1" ht="12" customHeight="1" x14ac:dyDescent="0.2">
      <c r="A524" s="95" t="s">
        <v>64</v>
      </c>
      <c r="B524" s="104"/>
      <c r="C524" s="114"/>
      <c r="D524" s="114"/>
      <c r="E524" s="114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4">
        <v>21</v>
      </c>
      <c r="C525" s="114">
        <v>5</v>
      </c>
      <c r="D525" s="2" t="s">
        <v>433</v>
      </c>
      <c r="E525" s="114"/>
      <c r="F525" s="18">
        <v>76624.22</v>
      </c>
      <c r="G525" s="18">
        <v>34755.050000000003</v>
      </c>
      <c r="H525" s="18">
        <v>47902.080000000002</v>
      </c>
      <c r="I525" s="18">
        <v>704.58999999999992</v>
      </c>
      <c r="J525" s="18">
        <v>3000</v>
      </c>
      <c r="K525" s="18">
        <v>0</v>
      </c>
      <c r="L525" s="87">
        <f>SUM(F525:K525)</f>
        <v>162985.94</v>
      </c>
      <c r="M525" s="8"/>
    </row>
    <row r="526" spans="1:13" s="3" customFormat="1" ht="12" customHeight="1" x14ac:dyDescent="0.15">
      <c r="A526" s="22" t="s">
        <v>638</v>
      </c>
      <c r="B526" s="104">
        <v>21</v>
      </c>
      <c r="C526" s="114">
        <v>6</v>
      </c>
      <c r="D526" s="2" t="s">
        <v>433</v>
      </c>
      <c r="E526" s="114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7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7">
        <v>21</v>
      </c>
      <c r="C527" s="117">
        <v>7</v>
      </c>
      <c r="D527" s="2" t="s">
        <v>433</v>
      </c>
      <c r="E527" s="117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7">
        <f>SUM(F527:K527)</f>
        <v>0</v>
      </c>
      <c r="M527" s="8"/>
    </row>
    <row r="528" spans="1:13" s="3" customFormat="1" ht="12" customHeight="1" thickTop="1" x14ac:dyDescent="0.15">
      <c r="A528" s="138" t="s">
        <v>65</v>
      </c>
      <c r="B528" s="106">
        <v>21</v>
      </c>
      <c r="C528" s="106">
        <v>8</v>
      </c>
      <c r="D528" s="156" t="s">
        <v>433</v>
      </c>
      <c r="E528" s="106"/>
      <c r="F528" s="88">
        <f>SUM(F525:F527)</f>
        <v>76624.22</v>
      </c>
      <c r="G528" s="88">
        <f t="shared" ref="G528:L528" si="38">SUM(G525:G527)</f>
        <v>34755.050000000003</v>
      </c>
      <c r="H528" s="88">
        <f t="shared" si="38"/>
        <v>47902.080000000002</v>
      </c>
      <c r="I528" s="88">
        <f t="shared" si="38"/>
        <v>704.58999999999992</v>
      </c>
      <c r="J528" s="88">
        <f t="shared" si="38"/>
        <v>3000</v>
      </c>
      <c r="K528" s="88">
        <f t="shared" si="38"/>
        <v>0</v>
      </c>
      <c r="L528" s="88">
        <f t="shared" si="38"/>
        <v>162985.94</v>
      </c>
      <c r="M528" s="8"/>
    </row>
    <row r="529" spans="1:13" s="3" customFormat="1" ht="12" customHeight="1" x14ac:dyDescent="0.15">
      <c r="A529" s="96" t="s">
        <v>66</v>
      </c>
      <c r="B529" s="104"/>
      <c r="C529" s="104"/>
      <c r="D529" s="104"/>
      <c r="E529" s="104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4">
        <v>21</v>
      </c>
      <c r="C530" s="104">
        <v>9</v>
      </c>
      <c r="D530" s="2" t="s">
        <v>433</v>
      </c>
      <c r="E530" s="104"/>
      <c r="F530" s="18">
        <v>26321.657846308364</v>
      </c>
      <c r="G530" s="18">
        <v>13422.139345435266</v>
      </c>
      <c r="H530" s="18">
        <v>0</v>
      </c>
      <c r="I530" s="18">
        <v>43.281000000000006</v>
      </c>
      <c r="J530" s="18">
        <v>27</v>
      </c>
      <c r="K530" s="18">
        <v>858.17</v>
      </c>
      <c r="L530" s="87">
        <f>SUM(F530:K530)</f>
        <v>40672.248191743631</v>
      </c>
      <c r="M530" s="8"/>
    </row>
    <row r="531" spans="1:13" s="3" customFormat="1" ht="12" customHeight="1" x14ac:dyDescent="0.15">
      <c r="A531" s="22" t="s">
        <v>638</v>
      </c>
      <c r="B531" s="104">
        <v>21</v>
      </c>
      <c r="C531" s="104">
        <v>10</v>
      </c>
      <c r="D531" s="2" t="s">
        <v>433</v>
      </c>
      <c r="E531" s="104"/>
      <c r="F531" s="18">
        <v>0</v>
      </c>
      <c r="G531" s="18">
        <v>0</v>
      </c>
      <c r="H531" s="18">
        <v>0</v>
      </c>
      <c r="I531" s="18">
        <v>0</v>
      </c>
      <c r="J531" s="18">
        <v>0</v>
      </c>
      <c r="K531" s="18">
        <v>0</v>
      </c>
      <c r="L531" s="87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4">
        <v>21</v>
      </c>
      <c r="C532" s="104">
        <v>11</v>
      </c>
      <c r="D532" s="2" t="s">
        <v>433</v>
      </c>
      <c r="E532" s="104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7">
        <f>SUM(F532:K532)</f>
        <v>0</v>
      </c>
      <c r="M532" s="8"/>
    </row>
    <row r="533" spans="1:13" s="3" customFormat="1" ht="12" customHeight="1" thickTop="1" x14ac:dyDescent="0.15">
      <c r="A533" s="138" t="s">
        <v>67</v>
      </c>
      <c r="B533" s="106">
        <v>21</v>
      </c>
      <c r="C533" s="106">
        <v>12</v>
      </c>
      <c r="D533" s="156" t="s">
        <v>433</v>
      </c>
      <c r="E533" s="106"/>
      <c r="F533" s="88">
        <f>SUM(F530:F532)</f>
        <v>26321.657846308364</v>
      </c>
      <c r="G533" s="88">
        <f t="shared" ref="G533:L533" si="39">SUM(G530:G532)</f>
        <v>13422.139345435266</v>
      </c>
      <c r="H533" s="88">
        <f t="shared" si="39"/>
        <v>0</v>
      </c>
      <c r="I533" s="88">
        <f t="shared" si="39"/>
        <v>43.281000000000006</v>
      </c>
      <c r="J533" s="88">
        <f t="shared" si="39"/>
        <v>27</v>
      </c>
      <c r="K533" s="88">
        <f t="shared" si="39"/>
        <v>858.17</v>
      </c>
      <c r="L533" s="88">
        <f t="shared" si="39"/>
        <v>40672.248191743631</v>
      </c>
      <c r="M533" s="8"/>
    </row>
    <row r="534" spans="1:13" s="3" customFormat="1" ht="12" customHeight="1" x14ac:dyDescent="0.15">
      <c r="A534" s="96" t="s">
        <v>68</v>
      </c>
      <c r="B534" s="104"/>
      <c r="C534" s="104"/>
      <c r="D534" s="104"/>
      <c r="E534" s="104"/>
      <c r="F534" s="193" t="s">
        <v>289</v>
      </c>
      <c r="G534" s="193" t="s">
        <v>289</v>
      </c>
      <c r="H534" s="193" t="s">
        <v>289</v>
      </c>
      <c r="I534" s="193" t="s">
        <v>289</v>
      </c>
      <c r="J534" s="193" t="s">
        <v>289</v>
      </c>
      <c r="K534" s="193" t="s">
        <v>289</v>
      </c>
      <c r="L534" s="193" t="s">
        <v>289</v>
      </c>
      <c r="M534" s="8"/>
    </row>
    <row r="535" spans="1:13" s="3" customFormat="1" ht="12" customHeight="1" x14ac:dyDescent="0.15">
      <c r="A535" s="22" t="s">
        <v>637</v>
      </c>
      <c r="B535" s="104">
        <v>21</v>
      </c>
      <c r="C535" s="104">
        <v>13</v>
      </c>
      <c r="D535" s="2" t="s">
        <v>433</v>
      </c>
      <c r="E535" s="104"/>
      <c r="F535" s="18">
        <v>0</v>
      </c>
      <c r="G535" s="18">
        <v>0</v>
      </c>
      <c r="H535" s="18">
        <v>7852.33</v>
      </c>
      <c r="I535" s="18">
        <v>0</v>
      </c>
      <c r="J535" s="18">
        <v>0</v>
      </c>
      <c r="K535" s="18">
        <v>0</v>
      </c>
      <c r="L535" s="87">
        <f>SUM(F535:K535)</f>
        <v>7852.33</v>
      </c>
      <c r="M535" s="8"/>
    </row>
    <row r="536" spans="1:13" s="3" customFormat="1" ht="12" customHeight="1" x14ac:dyDescent="0.15">
      <c r="A536" s="22" t="s">
        <v>638</v>
      </c>
      <c r="B536" s="104">
        <v>21</v>
      </c>
      <c r="C536" s="104">
        <v>14</v>
      </c>
      <c r="D536" s="2" t="s">
        <v>433</v>
      </c>
      <c r="E536" s="104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7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4">
        <v>21</v>
      </c>
      <c r="C537" s="104">
        <v>15</v>
      </c>
      <c r="D537" s="2" t="s">
        <v>433</v>
      </c>
      <c r="E537" s="104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7">
        <f>SUM(F537:K537)</f>
        <v>0</v>
      </c>
      <c r="M537" s="8"/>
    </row>
    <row r="538" spans="1:13" s="3" customFormat="1" ht="12" customHeight="1" thickTop="1" x14ac:dyDescent="0.15">
      <c r="A538" s="138" t="s">
        <v>69</v>
      </c>
      <c r="B538" s="106">
        <v>21</v>
      </c>
      <c r="C538" s="106">
        <v>16</v>
      </c>
      <c r="D538" s="156" t="s">
        <v>433</v>
      </c>
      <c r="E538" s="106"/>
      <c r="F538" s="88">
        <f>SUM(F535:F537)</f>
        <v>0</v>
      </c>
      <c r="G538" s="88">
        <f t="shared" ref="G538:L538" si="40">SUM(G535:G537)</f>
        <v>0</v>
      </c>
      <c r="H538" s="88">
        <f t="shared" si="40"/>
        <v>7852.33</v>
      </c>
      <c r="I538" s="88">
        <f t="shared" si="40"/>
        <v>0</v>
      </c>
      <c r="J538" s="88">
        <f t="shared" si="40"/>
        <v>0</v>
      </c>
      <c r="K538" s="88">
        <f t="shared" si="40"/>
        <v>0</v>
      </c>
      <c r="L538" s="88">
        <f t="shared" si="40"/>
        <v>7852.33</v>
      </c>
      <c r="M538" s="8"/>
    </row>
    <row r="539" spans="1:13" s="3" customFormat="1" ht="12" customHeight="1" x14ac:dyDescent="0.15">
      <c r="A539" s="96" t="s">
        <v>70</v>
      </c>
      <c r="B539" s="104"/>
      <c r="C539" s="104"/>
      <c r="D539" s="104"/>
      <c r="E539" s="104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4">
        <v>21</v>
      </c>
      <c r="C540" s="104">
        <v>17</v>
      </c>
      <c r="D540" s="2" t="s">
        <v>433</v>
      </c>
      <c r="E540" s="104"/>
      <c r="F540" s="18">
        <v>0</v>
      </c>
      <c r="G540" s="18">
        <v>0</v>
      </c>
      <c r="H540" s="18">
        <f>H591</f>
        <v>36451.34757668712</v>
      </c>
      <c r="I540" s="18">
        <v>0</v>
      </c>
      <c r="J540" s="18">
        <v>0</v>
      </c>
      <c r="K540" s="18">
        <v>0</v>
      </c>
      <c r="L540" s="87">
        <f>SUM(F540:K540)</f>
        <v>36451.34757668712</v>
      </c>
      <c r="M540" s="8"/>
    </row>
    <row r="541" spans="1:13" s="3" customFormat="1" ht="12" customHeight="1" x14ac:dyDescent="0.15">
      <c r="A541" s="22" t="s">
        <v>638</v>
      </c>
      <c r="B541" s="104">
        <v>21</v>
      </c>
      <c r="C541" s="104">
        <v>18</v>
      </c>
      <c r="D541" s="2" t="s">
        <v>433</v>
      </c>
      <c r="E541" s="104"/>
      <c r="F541" s="18">
        <v>0</v>
      </c>
      <c r="G541" s="18">
        <v>0</v>
      </c>
      <c r="H541" s="18">
        <f>I591</f>
        <v>7176.94926380368</v>
      </c>
      <c r="I541" s="18">
        <v>0</v>
      </c>
      <c r="J541" s="18">
        <v>0</v>
      </c>
      <c r="K541" s="18">
        <v>0</v>
      </c>
      <c r="L541" s="87">
        <f>SUM(F541:K541)</f>
        <v>7176.94926380368</v>
      </c>
      <c r="M541" s="8"/>
    </row>
    <row r="542" spans="1:13" s="3" customFormat="1" ht="12" customHeight="1" thickBot="1" x14ac:dyDescent="0.2">
      <c r="A542" s="22" t="s">
        <v>639</v>
      </c>
      <c r="B542" s="104">
        <v>21</v>
      </c>
      <c r="C542" s="104">
        <v>19</v>
      </c>
      <c r="D542" s="2" t="s">
        <v>433</v>
      </c>
      <c r="E542" s="104"/>
      <c r="F542" s="18">
        <v>0</v>
      </c>
      <c r="G542" s="18">
        <v>0</v>
      </c>
      <c r="H542" s="18">
        <f>J591</f>
        <v>17942.373159509199</v>
      </c>
      <c r="I542" s="18">
        <v>0</v>
      </c>
      <c r="J542" s="18">
        <v>0</v>
      </c>
      <c r="K542" s="18">
        <v>0</v>
      </c>
      <c r="L542" s="87">
        <f>SUM(F542:K542)</f>
        <v>17942.373159509199</v>
      </c>
      <c r="M542" s="8"/>
    </row>
    <row r="543" spans="1:13" s="3" customFormat="1" ht="12" customHeight="1" thickTop="1" thickBot="1" x14ac:dyDescent="0.2">
      <c r="A543" s="129" t="s">
        <v>71</v>
      </c>
      <c r="B543" s="190">
        <v>21</v>
      </c>
      <c r="C543" s="190">
        <v>20</v>
      </c>
      <c r="D543" s="191" t="s">
        <v>433</v>
      </c>
      <c r="E543" s="190"/>
      <c r="F543" s="192">
        <f>SUM(F540:F542)</f>
        <v>0</v>
      </c>
      <c r="G543" s="192">
        <f t="shared" ref="G543:L543" si="41">SUM(G540:G542)</f>
        <v>0</v>
      </c>
      <c r="H543" s="192">
        <f t="shared" si="41"/>
        <v>61570.67</v>
      </c>
      <c r="I543" s="192">
        <f t="shared" si="41"/>
        <v>0</v>
      </c>
      <c r="J543" s="192">
        <f t="shared" si="41"/>
        <v>0</v>
      </c>
      <c r="K543" s="192">
        <f t="shared" si="41"/>
        <v>0</v>
      </c>
      <c r="L543" s="192">
        <f t="shared" si="41"/>
        <v>61570.67</v>
      </c>
      <c r="M543" s="8"/>
    </row>
    <row r="544" spans="1:13" s="3" customFormat="1" ht="12" customHeight="1" thickTop="1" x14ac:dyDescent="0.15">
      <c r="A544" s="97" t="s">
        <v>72</v>
      </c>
      <c r="B544" s="106">
        <v>21</v>
      </c>
      <c r="C544" s="106">
        <v>21</v>
      </c>
      <c r="D544" s="156" t="s">
        <v>433</v>
      </c>
      <c r="E544" s="106"/>
      <c r="F544" s="88">
        <f>F523+F528+F533+F538+F543</f>
        <v>444963.89784630836</v>
      </c>
      <c r="G544" s="88">
        <f t="shared" ref="G544:L544" si="42">G523+G528+G533+G538+G543</f>
        <v>156358.14934543526</v>
      </c>
      <c r="H544" s="88">
        <f t="shared" si="42"/>
        <v>335565.77</v>
      </c>
      <c r="I544" s="88">
        <f t="shared" si="42"/>
        <v>4140.8409999999994</v>
      </c>
      <c r="J544" s="88">
        <f t="shared" si="42"/>
        <v>7246.12</v>
      </c>
      <c r="K544" s="88">
        <f t="shared" si="42"/>
        <v>858.17</v>
      </c>
      <c r="L544" s="88">
        <f t="shared" si="42"/>
        <v>949132.94819174358</v>
      </c>
      <c r="M544" s="8"/>
    </row>
    <row r="545" spans="1:13" s="3" customFormat="1" ht="12" customHeight="1" x14ac:dyDescent="0.15">
      <c r="A545" s="98"/>
      <c r="B545" s="104"/>
      <c r="C545" s="104"/>
      <c r="D545" s="104"/>
      <c r="E545" s="104"/>
      <c r="F545" s="86"/>
      <c r="G545" s="86"/>
      <c r="H545" s="86"/>
      <c r="I545" s="86"/>
      <c r="J545" s="86"/>
      <c r="K545" s="86"/>
      <c r="L545" s="86"/>
      <c r="M545" s="8"/>
    </row>
    <row r="546" spans="1:13" s="3" customFormat="1" ht="12" customHeight="1" x14ac:dyDescent="0.15">
      <c r="A546" s="99" t="s">
        <v>73</v>
      </c>
      <c r="B546" s="104"/>
      <c r="C546" s="104"/>
      <c r="D546" s="104"/>
      <c r="E546" s="104"/>
      <c r="F546" s="100" t="s">
        <v>74</v>
      </c>
      <c r="G546" s="86" t="s">
        <v>75</v>
      </c>
      <c r="H546" s="86" t="s">
        <v>76</v>
      </c>
      <c r="I546" s="100" t="s">
        <v>77</v>
      </c>
      <c r="J546" s="86" t="s">
        <v>78</v>
      </c>
      <c r="K546" s="100" t="s">
        <v>79</v>
      </c>
      <c r="L546" s="24" t="s">
        <v>289</v>
      </c>
      <c r="M546" s="8"/>
    </row>
    <row r="547" spans="1:13" s="3" customFormat="1" ht="12" customHeight="1" x14ac:dyDescent="0.15">
      <c r="A547" s="99" t="s">
        <v>250</v>
      </c>
      <c r="B547" s="104"/>
      <c r="C547" s="104"/>
      <c r="D547" s="104"/>
      <c r="E547" s="104"/>
      <c r="F547" s="100" t="s">
        <v>80</v>
      </c>
      <c r="G547" s="100" t="s">
        <v>81</v>
      </c>
      <c r="H547" s="100" t="s">
        <v>82</v>
      </c>
      <c r="I547" s="100" t="s">
        <v>83</v>
      </c>
      <c r="J547" s="100" t="s">
        <v>84</v>
      </c>
      <c r="K547" s="86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4">
        <v>21</v>
      </c>
      <c r="C548" s="74">
        <v>22</v>
      </c>
      <c r="D548" s="2" t="s">
        <v>433</v>
      </c>
      <c r="E548" s="74"/>
      <c r="F548" s="86">
        <f>L520</f>
        <v>534943.02</v>
      </c>
      <c r="G548" s="86">
        <f>L525</f>
        <v>162985.94</v>
      </c>
      <c r="H548" s="86">
        <f>L530</f>
        <v>40672.248191743631</v>
      </c>
      <c r="I548" s="86">
        <f>L535</f>
        <v>7852.33</v>
      </c>
      <c r="J548" s="86">
        <f>L540</f>
        <v>36451.34757668712</v>
      </c>
      <c r="K548" s="86">
        <f>SUM(F548:J548)</f>
        <v>782904.88576843066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4">
        <v>21</v>
      </c>
      <c r="C549" s="74">
        <v>23</v>
      </c>
      <c r="D549" s="2" t="s">
        <v>433</v>
      </c>
      <c r="E549" s="74"/>
      <c r="F549" s="86">
        <f>L521</f>
        <v>53726.36</v>
      </c>
      <c r="G549" s="86">
        <f>L526</f>
        <v>0</v>
      </c>
      <c r="H549" s="86">
        <f>L531</f>
        <v>0</v>
      </c>
      <c r="I549" s="86">
        <f>L536</f>
        <v>0</v>
      </c>
      <c r="J549" s="86">
        <f>L541</f>
        <v>7176.94926380368</v>
      </c>
      <c r="K549" s="86">
        <f>SUM(F549:J549)</f>
        <v>60903.309263803683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4">
        <v>21</v>
      </c>
      <c r="C550" s="74">
        <v>24</v>
      </c>
      <c r="D550" s="2" t="s">
        <v>433</v>
      </c>
      <c r="E550" s="74"/>
      <c r="F550" s="86">
        <f>L522</f>
        <v>87382.38</v>
      </c>
      <c r="G550" s="86">
        <f>L527</f>
        <v>0</v>
      </c>
      <c r="H550" s="86">
        <f>L532</f>
        <v>0</v>
      </c>
      <c r="I550" s="86">
        <f>L537</f>
        <v>0</v>
      </c>
      <c r="J550" s="86">
        <f>L542</f>
        <v>17942.373159509199</v>
      </c>
      <c r="K550" s="86">
        <f>SUM(F550:J550)</f>
        <v>105324.7531595092</v>
      </c>
      <c r="L550" s="24" t="s">
        <v>289</v>
      </c>
      <c r="M550" s="8"/>
    </row>
    <row r="551" spans="1:13" s="3" customFormat="1" ht="12" customHeight="1" thickTop="1" x14ac:dyDescent="0.15">
      <c r="A551" s="170" t="s">
        <v>341</v>
      </c>
      <c r="B551" s="44">
        <v>21</v>
      </c>
      <c r="C551" s="44">
        <v>25</v>
      </c>
      <c r="D551" s="39" t="s">
        <v>433</v>
      </c>
      <c r="E551" s="44"/>
      <c r="F551" s="88">
        <f t="shared" ref="F551:K551" si="43">SUM(F548:F550)</f>
        <v>676051.76</v>
      </c>
      <c r="G551" s="88">
        <f t="shared" si="43"/>
        <v>162985.94</v>
      </c>
      <c r="H551" s="88">
        <f t="shared" si="43"/>
        <v>40672.248191743631</v>
      </c>
      <c r="I551" s="88">
        <f t="shared" si="43"/>
        <v>7852.33</v>
      </c>
      <c r="J551" s="88">
        <f t="shared" si="43"/>
        <v>61570.67</v>
      </c>
      <c r="K551" s="88">
        <f t="shared" si="43"/>
        <v>949132.94819174346</v>
      </c>
      <c r="L551" s="24"/>
      <c r="M551" s="8"/>
    </row>
    <row r="552" spans="1:13" s="3" customFormat="1" ht="12" customHeight="1" x14ac:dyDescent="0.15">
      <c r="A552" s="95" t="s">
        <v>583</v>
      </c>
      <c r="B552" s="104"/>
      <c r="C552" s="104"/>
      <c r="D552" s="104"/>
      <c r="E552" s="104"/>
      <c r="F552" s="86"/>
      <c r="G552" s="86"/>
      <c r="H552" s="86"/>
      <c r="I552" s="86"/>
      <c r="J552" s="86"/>
      <c r="K552" s="86"/>
      <c r="L552" s="86"/>
      <c r="M552" s="8"/>
    </row>
    <row r="553" spans="1:13" s="3" customFormat="1" ht="12" customHeight="1" x14ac:dyDescent="0.15">
      <c r="B553" s="104"/>
      <c r="C553" s="114"/>
      <c r="D553" s="114"/>
      <c r="E553" s="114"/>
      <c r="F553" s="175" t="s">
        <v>693</v>
      </c>
      <c r="G553" s="175" t="s">
        <v>694</v>
      </c>
      <c r="H553" s="175" t="s">
        <v>695</v>
      </c>
      <c r="I553" s="175" t="s">
        <v>696</v>
      </c>
      <c r="J553" s="175" t="s">
        <v>697</v>
      </c>
      <c r="K553" s="175" t="s">
        <v>698</v>
      </c>
      <c r="L553" s="105"/>
      <c r="M553" s="8"/>
    </row>
    <row r="554" spans="1:13" s="3" customFormat="1" ht="12" customHeight="1" x14ac:dyDescent="0.15">
      <c r="A554" s="95" t="s">
        <v>50</v>
      </c>
      <c r="B554" s="104"/>
      <c r="C554" s="114"/>
      <c r="D554" s="114"/>
      <c r="E554" s="114"/>
      <c r="F554" s="102" t="s">
        <v>54</v>
      </c>
      <c r="G554" s="102" t="s">
        <v>55</v>
      </c>
      <c r="H554" s="105" t="s">
        <v>56</v>
      </c>
      <c r="I554" s="105" t="s">
        <v>57</v>
      </c>
      <c r="J554" s="105" t="s">
        <v>58</v>
      </c>
      <c r="K554" s="105" t="s">
        <v>59</v>
      </c>
      <c r="L554" s="105" t="s">
        <v>5</v>
      </c>
      <c r="M554" s="8"/>
    </row>
    <row r="555" spans="1:13" s="3" customFormat="1" ht="12" customHeight="1" x14ac:dyDescent="0.15">
      <c r="A555" s="95" t="s">
        <v>85</v>
      </c>
      <c r="B555" s="104"/>
      <c r="C555" s="114"/>
      <c r="D555" s="114"/>
      <c r="E555" s="114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4">
        <v>22</v>
      </c>
      <c r="C556" s="114">
        <v>1</v>
      </c>
      <c r="D556" s="2" t="s">
        <v>433</v>
      </c>
      <c r="E556" s="114"/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18">
        <v>0</v>
      </c>
      <c r="L556" s="87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4">
        <v>22</v>
      </c>
      <c r="C557" s="114">
        <v>2</v>
      </c>
      <c r="D557" s="2" t="s">
        <v>433</v>
      </c>
      <c r="E557" s="114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7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4">
        <v>22</v>
      </c>
      <c r="C558" s="114">
        <v>3</v>
      </c>
      <c r="D558" s="2" t="s">
        <v>433</v>
      </c>
      <c r="E558" s="114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7">
        <f>SUM(F558:K558)</f>
        <v>0</v>
      </c>
      <c r="M558" s="8"/>
    </row>
    <row r="559" spans="1:13" s="3" customFormat="1" ht="12" customHeight="1" thickTop="1" x14ac:dyDescent="0.15">
      <c r="A559" s="138" t="s">
        <v>63</v>
      </c>
      <c r="B559" s="106">
        <v>22</v>
      </c>
      <c r="C559" s="194">
        <v>4</v>
      </c>
      <c r="D559" s="195" t="s">
        <v>433</v>
      </c>
      <c r="E559" s="194"/>
      <c r="F559" s="107">
        <f t="shared" ref="F559:L559" si="44">SUM(F556:F558)</f>
        <v>0</v>
      </c>
      <c r="G559" s="107">
        <f t="shared" si="44"/>
        <v>0</v>
      </c>
      <c r="H559" s="107">
        <f t="shared" si="44"/>
        <v>0</v>
      </c>
      <c r="I559" s="107">
        <f t="shared" si="44"/>
        <v>0</v>
      </c>
      <c r="J559" s="107">
        <f t="shared" si="44"/>
        <v>0</v>
      </c>
      <c r="K559" s="107">
        <f t="shared" si="44"/>
        <v>0</v>
      </c>
      <c r="L559" s="88">
        <f t="shared" si="44"/>
        <v>0</v>
      </c>
      <c r="M559" s="8"/>
    </row>
    <row r="560" spans="1:13" s="3" customFormat="1" ht="12" customHeight="1" x14ac:dyDescent="0.15">
      <c r="A560" s="95" t="s">
        <v>86</v>
      </c>
      <c r="B560" s="104"/>
      <c r="C560" s="114"/>
      <c r="D560" s="114"/>
      <c r="E560" s="114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4">
        <v>22</v>
      </c>
      <c r="C561" s="114">
        <v>5</v>
      </c>
      <c r="D561" s="2" t="s">
        <v>433</v>
      </c>
      <c r="E561" s="114"/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18">
        <v>0</v>
      </c>
      <c r="L561" s="87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4">
        <v>22</v>
      </c>
      <c r="C562" s="114">
        <v>6</v>
      </c>
      <c r="D562" s="2" t="s">
        <v>433</v>
      </c>
      <c r="E562" s="114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7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4">
        <v>22</v>
      </c>
      <c r="C563" s="117">
        <v>7</v>
      </c>
      <c r="D563" s="2" t="s">
        <v>433</v>
      </c>
      <c r="E563" s="117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7">
        <f>SUM(F563:K563)</f>
        <v>0</v>
      </c>
      <c r="M563" s="8"/>
    </row>
    <row r="564" spans="1:13" s="3" customFormat="1" ht="12" customHeight="1" thickTop="1" x14ac:dyDescent="0.15">
      <c r="A564" s="138" t="s">
        <v>65</v>
      </c>
      <c r="B564" s="106">
        <v>22</v>
      </c>
      <c r="C564" s="106">
        <v>8</v>
      </c>
      <c r="D564" s="195" t="s">
        <v>433</v>
      </c>
      <c r="E564" s="106"/>
      <c r="F564" s="88">
        <f t="shared" ref="F564:L564" si="45">SUM(F561:F563)</f>
        <v>0</v>
      </c>
      <c r="G564" s="88">
        <f t="shared" si="45"/>
        <v>0</v>
      </c>
      <c r="H564" s="88">
        <f t="shared" si="45"/>
        <v>0</v>
      </c>
      <c r="I564" s="88">
        <f t="shared" si="45"/>
        <v>0</v>
      </c>
      <c r="J564" s="88">
        <f t="shared" si="45"/>
        <v>0</v>
      </c>
      <c r="K564" s="88">
        <f t="shared" si="45"/>
        <v>0</v>
      </c>
      <c r="L564" s="88">
        <f t="shared" si="45"/>
        <v>0</v>
      </c>
      <c r="M564" s="8"/>
    </row>
    <row r="565" spans="1:13" s="3" customFormat="1" ht="12" customHeight="1" x14ac:dyDescent="0.15">
      <c r="A565" s="96" t="s">
        <v>87</v>
      </c>
      <c r="B565" s="104"/>
      <c r="C565" s="104"/>
      <c r="D565" s="104"/>
      <c r="E565" s="104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4">
        <v>22</v>
      </c>
      <c r="C566" s="104">
        <v>9</v>
      </c>
      <c r="D566" s="2" t="s">
        <v>433</v>
      </c>
      <c r="E566" s="104"/>
      <c r="F566" s="18">
        <v>0</v>
      </c>
      <c r="G566" s="18">
        <v>0</v>
      </c>
      <c r="H566" s="18">
        <v>0</v>
      </c>
      <c r="I566" s="18">
        <v>0</v>
      </c>
      <c r="J566" s="18">
        <v>0</v>
      </c>
      <c r="K566" s="18">
        <v>0</v>
      </c>
      <c r="L566" s="87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4">
        <v>22</v>
      </c>
      <c r="C567" s="104">
        <v>10</v>
      </c>
      <c r="D567" s="2" t="s">
        <v>433</v>
      </c>
      <c r="E567" s="104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7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4">
        <v>22</v>
      </c>
      <c r="C568" s="104">
        <v>11</v>
      </c>
      <c r="D568" s="2" t="s">
        <v>433</v>
      </c>
      <c r="E568" s="104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7">
        <f>SUM(F568:K568)</f>
        <v>0</v>
      </c>
      <c r="M568" s="8"/>
    </row>
    <row r="569" spans="1:13" s="3" customFormat="1" ht="12" customHeight="1" thickTop="1" thickBot="1" x14ac:dyDescent="0.2">
      <c r="A569" s="129" t="s">
        <v>67</v>
      </c>
      <c r="B569" s="190">
        <v>22</v>
      </c>
      <c r="C569" s="190">
        <v>12</v>
      </c>
      <c r="D569" s="196" t="s">
        <v>433</v>
      </c>
      <c r="E569" s="190"/>
      <c r="F569" s="192">
        <f>SUM(F566:F568)</f>
        <v>0</v>
      </c>
      <c r="G569" s="192">
        <f t="shared" ref="G569:L569" si="46">SUM(G566:G568)</f>
        <v>0</v>
      </c>
      <c r="H569" s="192">
        <f t="shared" si="46"/>
        <v>0</v>
      </c>
      <c r="I569" s="192">
        <f t="shared" si="46"/>
        <v>0</v>
      </c>
      <c r="J569" s="192">
        <f t="shared" si="46"/>
        <v>0</v>
      </c>
      <c r="K569" s="192">
        <f t="shared" si="46"/>
        <v>0</v>
      </c>
      <c r="L569" s="192">
        <f t="shared" si="46"/>
        <v>0</v>
      </c>
      <c r="M569" s="8"/>
    </row>
    <row r="570" spans="1:13" s="3" customFormat="1" ht="12" customHeight="1" thickTop="1" x14ac:dyDescent="0.15">
      <c r="A570" s="97" t="s">
        <v>88</v>
      </c>
      <c r="B570" s="106">
        <v>22</v>
      </c>
      <c r="C570" s="106">
        <v>13</v>
      </c>
      <c r="D570" s="156" t="s">
        <v>433</v>
      </c>
      <c r="E570" s="106"/>
      <c r="F570" s="88">
        <f>F559+F564+F569</f>
        <v>0</v>
      </c>
      <c r="G570" s="88">
        <f t="shared" ref="G570:L570" si="47">G559+G564+G569</f>
        <v>0</v>
      </c>
      <c r="H570" s="88">
        <f t="shared" si="47"/>
        <v>0</v>
      </c>
      <c r="I570" s="88">
        <f t="shared" si="47"/>
        <v>0</v>
      </c>
      <c r="J570" s="88">
        <f t="shared" si="47"/>
        <v>0</v>
      </c>
      <c r="K570" s="88">
        <f t="shared" si="47"/>
        <v>0</v>
      </c>
      <c r="L570" s="88">
        <f t="shared" si="47"/>
        <v>0</v>
      </c>
      <c r="M570" s="8"/>
    </row>
    <row r="571" spans="1:13" s="3" customFormat="1" ht="12" customHeight="1" x14ac:dyDescent="0.15">
      <c r="A571" s="96"/>
      <c r="B571" s="74"/>
      <c r="C571" s="74"/>
      <c r="D571" s="74"/>
      <c r="E571" s="74"/>
      <c r="F571" s="86"/>
      <c r="G571" s="86"/>
      <c r="H571" s="86"/>
      <c r="I571" s="86"/>
      <c r="J571" s="86"/>
      <c r="K571" s="86"/>
      <c r="L571" s="86"/>
      <c r="M571" s="8"/>
    </row>
    <row r="572" spans="1:13" s="3" customFormat="1" ht="12" customHeight="1" x14ac:dyDescent="0.15">
      <c r="A572" s="96" t="s">
        <v>775</v>
      </c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</row>
    <row r="573" spans="1:13" s="3" customFormat="1" ht="12" customHeight="1" x14ac:dyDescent="0.15">
      <c r="A573" s="96" t="s">
        <v>89</v>
      </c>
      <c r="B573" s="74"/>
      <c r="C573" s="74"/>
      <c r="D573" s="74"/>
      <c r="E573" s="74" t="s">
        <v>95</v>
      </c>
      <c r="F573" s="100" t="s">
        <v>90</v>
      </c>
      <c r="G573" s="100" t="s">
        <v>91</v>
      </c>
      <c r="H573" s="100" t="s">
        <v>92</v>
      </c>
      <c r="I573" s="100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8" t="s">
        <v>673</v>
      </c>
      <c r="B574" s="74">
        <v>22</v>
      </c>
      <c r="C574" s="74">
        <v>14</v>
      </c>
      <c r="D574" s="2" t="s">
        <v>433</v>
      </c>
      <c r="E574" s="74">
        <v>561</v>
      </c>
      <c r="F574" s="18">
        <v>0</v>
      </c>
      <c r="G574" s="18">
        <v>439012.59</v>
      </c>
      <c r="H574" s="18">
        <v>1034966.72</v>
      </c>
      <c r="I574" s="86">
        <f>SUM(F574:H574)</f>
        <v>1473979.31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8" t="s">
        <v>674</v>
      </c>
      <c r="B575" s="74">
        <v>22</v>
      </c>
      <c r="C575" s="74">
        <v>15</v>
      </c>
      <c r="D575" s="2" t="s">
        <v>433</v>
      </c>
      <c r="E575" s="74">
        <v>562</v>
      </c>
      <c r="F575" s="18">
        <v>0</v>
      </c>
      <c r="G575" s="18">
        <v>0</v>
      </c>
      <c r="H575" s="18">
        <v>0</v>
      </c>
      <c r="I575" s="86">
        <f t="shared" ref="I575:I586" si="48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8" t="s">
        <v>744</v>
      </c>
      <c r="B576" s="74">
        <v>22</v>
      </c>
      <c r="C576" s="74">
        <v>16</v>
      </c>
      <c r="D576" s="2" t="s">
        <v>433</v>
      </c>
      <c r="E576" s="74">
        <v>563</v>
      </c>
      <c r="F576" s="24" t="s">
        <v>289</v>
      </c>
      <c r="G576" s="24" t="s">
        <v>289</v>
      </c>
      <c r="H576" s="18">
        <v>0</v>
      </c>
      <c r="I576" s="86">
        <f t="shared" si="48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8" t="s">
        <v>678</v>
      </c>
      <c r="B577" s="74">
        <v>22</v>
      </c>
      <c r="C577" s="74">
        <v>17</v>
      </c>
      <c r="D577" s="2" t="s">
        <v>433</v>
      </c>
      <c r="E577" s="74">
        <v>564</v>
      </c>
      <c r="F577" s="18">
        <v>0</v>
      </c>
      <c r="G577" s="18">
        <v>0</v>
      </c>
      <c r="H577" s="18">
        <v>0</v>
      </c>
      <c r="I577" s="86">
        <f t="shared" si="48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8" t="s">
        <v>675</v>
      </c>
      <c r="B578" s="74">
        <v>22</v>
      </c>
      <c r="C578" s="74">
        <v>18</v>
      </c>
      <c r="D578" s="2" t="s">
        <v>433</v>
      </c>
      <c r="E578" s="74">
        <v>561</v>
      </c>
      <c r="F578" s="18">
        <v>38396</v>
      </c>
      <c r="G578" s="18">
        <v>0</v>
      </c>
      <c r="H578" s="18">
        <v>35000</v>
      </c>
      <c r="I578" s="86">
        <f t="shared" si="48"/>
        <v>73396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8" t="s">
        <v>676</v>
      </c>
      <c r="B579" s="74">
        <v>22</v>
      </c>
      <c r="C579" s="74">
        <v>19</v>
      </c>
      <c r="D579" s="2" t="s">
        <v>433</v>
      </c>
      <c r="E579" s="74">
        <v>562</v>
      </c>
      <c r="F579" s="18">
        <v>0</v>
      </c>
      <c r="G579" s="18">
        <v>0</v>
      </c>
      <c r="H579" s="18">
        <v>0</v>
      </c>
      <c r="I579" s="86">
        <f t="shared" si="48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4" t="s">
        <v>745</v>
      </c>
      <c r="B580" s="74">
        <v>22</v>
      </c>
      <c r="C580" s="74">
        <v>20</v>
      </c>
      <c r="D580" s="2" t="s">
        <v>433</v>
      </c>
      <c r="E580" s="74">
        <v>563</v>
      </c>
      <c r="F580" s="24" t="s">
        <v>289</v>
      </c>
      <c r="G580" s="24" t="s">
        <v>289</v>
      </c>
      <c r="H580" s="18">
        <v>0</v>
      </c>
      <c r="I580" s="86">
        <f t="shared" si="48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4" t="s">
        <v>677</v>
      </c>
      <c r="B581" s="74">
        <v>22</v>
      </c>
      <c r="C581" s="74">
        <v>21</v>
      </c>
      <c r="D581" s="2" t="s">
        <v>433</v>
      </c>
      <c r="E581" s="74">
        <v>564</v>
      </c>
      <c r="F581" s="18">
        <v>4577.67</v>
      </c>
      <c r="G581" s="18">
        <v>53726.36</v>
      </c>
      <c r="H581" s="18">
        <v>52382.38</v>
      </c>
      <c r="I581" s="86">
        <f t="shared" si="48"/>
        <v>110686.41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4" t="s">
        <v>640</v>
      </c>
      <c r="B582" s="74">
        <v>22</v>
      </c>
      <c r="C582" s="74">
        <v>22</v>
      </c>
      <c r="D582" s="2" t="s">
        <v>433</v>
      </c>
      <c r="E582" s="74">
        <v>569</v>
      </c>
      <c r="F582" s="18">
        <v>0</v>
      </c>
      <c r="G582" s="18">
        <v>0</v>
      </c>
      <c r="H582" s="18">
        <v>0</v>
      </c>
      <c r="I582" s="86">
        <f t="shared" si="48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4">
        <v>22</v>
      </c>
      <c r="C583" s="74">
        <v>23</v>
      </c>
      <c r="D583" s="2" t="s">
        <v>433</v>
      </c>
      <c r="E583" s="74">
        <v>561</v>
      </c>
      <c r="F583" s="18">
        <v>0</v>
      </c>
      <c r="G583" s="18">
        <v>0</v>
      </c>
      <c r="H583" s="18">
        <v>0</v>
      </c>
      <c r="I583" s="86">
        <f t="shared" si="48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4">
        <v>22</v>
      </c>
      <c r="C584" s="74">
        <v>24</v>
      </c>
      <c r="D584" s="2" t="s">
        <v>433</v>
      </c>
      <c r="E584" s="74">
        <v>562</v>
      </c>
      <c r="F584" s="18">
        <v>0</v>
      </c>
      <c r="G584" s="18">
        <v>0</v>
      </c>
      <c r="H584" s="18">
        <v>0</v>
      </c>
      <c r="I584" s="86">
        <f t="shared" si="48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4">
        <v>22</v>
      </c>
      <c r="C585" s="74">
        <v>25</v>
      </c>
      <c r="D585" s="2" t="s">
        <v>433</v>
      </c>
      <c r="E585" s="74">
        <v>563</v>
      </c>
      <c r="F585" s="24" t="s">
        <v>289</v>
      </c>
      <c r="G585" s="24" t="s">
        <v>289</v>
      </c>
      <c r="H585" s="18">
        <v>0</v>
      </c>
      <c r="I585" s="86">
        <f t="shared" si="48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4">
        <v>22</v>
      </c>
      <c r="C586" s="74">
        <v>26</v>
      </c>
      <c r="D586" s="2" t="s">
        <v>433</v>
      </c>
      <c r="E586" s="74">
        <v>564</v>
      </c>
      <c r="F586" s="18">
        <v>0</v>
      </c>
      <c r="G586" s="18">
        <v>0</v>
      </c>
      <c r="H586" s="18">
        <v>0</v>
      </c>
      <c r="I586" s="86">
        <f t="shared" si="48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1" t="s">
        <v>747</v>
      </c>
      <c r="B587" s="104"/>
      <c r="C587" s="104"/>
      <c r="D587" s="104"/>
      <c r="E587" s="104"/>
      <c r="F587" s="102"/>
      <c r="G587" s="102"/>
      <c r="H587" s="102"/>
      <c r="I587" s="102"/>
      <c r="J587" s="102"/>
      <c r="K587" s="102"/>
      <c r="L587" s="102"/>
      <c r="M587" s="8"/>
    </row>
    <row r="588" spans="1:13" s="3" customFormat="1" ht="12" customHeight="1" x14ac:dyDescent="0.15">
      <c r="A588" s="145" t="s">
        <v>658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</row>
    <row r="589" spans="1:13" s="3" customFormat="1" ht="12" customHeight="1" x14ac:dyDescent="0.15">
      <c r="A589" s="95" t="s">
        <v>89</v>
      </c>
      <c r="B589" s="104"/>
      <c r="C589" s="104"/>
      <c r="D589" s="104"/>
      <c r="E589" s="104"/>
      <c r="F589" s="102" t="s">
        <v>94</v>
      </c>
      <c r="G589" s="102" t="s">
        <v>95</v>
      </c>
      <c r="H589" s="102" t="s">
        <v>61</v>
      </c>
      <c r="I589" s="102" t="s">
        <v>96</v>
      </c>
      <c r="J589" s="102" t="s">
        <v>62</v>
      </c>
      <c r="K589" s="102" t="s">
        <v>5</v>
      </c>
      <c r="L589" s="102"/>
      <c r="M589" s="8"/>
    </row>
    <row r="590" spans="1:13" s="3" customFormat="1" ht="12" customHeight="1" x14ac:dyDescent="0.15">
      <c r="A590" s="3" t="s">
        <v>641</v>
      </c>
      <c r="B590" s="74">
        <v>23</v>
      </c>
      <c r="C590" s="74">
        <v>1</v>
      </c>
      <c r="D590" s="2" t="s">
        <v>433</v>
      </c>
      <c r="E590" s="74"/>
      <c r="F590" s="101">
        <v>2721</v>
      </c>
      <c r="G590" s="102" t="s">
        <v>97</v>
      </c>
      <c r="H590" s="18">
        <v>106190.25766871167</v>
      </c>
      <c r="I590" s="18">
        <v>20907.926380368095</v>
      </c>
      <c r="J590" s="18">
        <v>52269.815950920245</v>
      </c>
      <c r="K590" s="103">
        <f t="shared" ref="K590:K596" si="49">SUM(H590:J590)</f>
        <v>179368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4">
        <v>23</v>
      </c>
      <c r="C591" s="74">
        <v>2</v>
      </c>
      <c r="D591" s="2" t="s">
        <v>433</v>
      </c>
      <c r="E591" s="74"/>
      <c r="F591" s="101">
        <v>2722</v>
      </c>
      <c r="G591" s="102" t="s">
        <v>97</v>
      </c>
      <c r="H591" s="18">
        <v>36451.34757668712</v>
      </c>
      <c r="I591" s="18">
        <v>7176.94926380368</v>
      </c>
      <c r="J591" s="18">
        <v>17942.373159509199</v>
      </c>
      <c r="K591" s="103">
        <f t="shared" si="49"/>
        <v>61570.67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4">
        <v>23</v>
      </c>
      <c r="C592" s="74">
        <v>3</v>
      </c>
      <c r="D592" s="2" t="s">
        <v>433</v>
      </c>
      <c r="E592" s="74"/>
      <c r="F592" s="101">
        <v>2723</v>
      </c>
      <c r="G592" s="102" t="s">
        <v>97</v>
      </c>
      <c r="H592" s="18">
        <v>0</v>
      </c>
      <c r="I592" s="18">
        <v>0</v>
      </c>
      <c r="J592" s="18">
        <v>0</v>
      </c>
      <c r="K592" s="103">
        <f t="shared" si="49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4">
        <v>23</v>
      </c>
      <c r="C593" s="74">
        <v>4</v>
      </c>
      <c r="D593" s="2" t="s">
        <v>433</v>
      </c>
      <c r="E593" s="74"/>
      <c r="F593" s="101">
        <v>2724</v>
      </c>
      <c r="G593" s="102" t="s">
        <v>97</v>
      </c>
      <c r="H593" s="18">
        <v>899.3</v>
      </c>
      <c r="I593" s="18">
        <v>0</v>
      </c>
      <c r="J593" s="18">
        <v>0</v>
      </c>
      <c r="K593" s="103">
        <f t="shared" si="49"/>
        <v>899.3</v>
      </c>
      <c r="L593" s="24" t="s">
        <v>289</v>
      </c>
      <c r="M593" s="8"/>
    </row>
    <row r="594" spans="1:13" s="3" customFormat="1" ht="12" customHeight="1" x14ac:dyDescent="0.15">
      <c r="A594" s="169" t="s">
        <v>656</v>
      </c>
      <c r="B594" s="74">
        <v>23</v>
      </c>
      <c r="C594" s="74">
        <v>5</v>
      </c>
      <c r="D594" s="2" t="s">
        <v>433</v>
      </c>
      <c r="E594" s="74"/>
      <c r="F594" s="101">
        <v>2725</v>
      </c>
      <c r="G594" s="102" t="s">
        <v>97</v>
      </c>
      <c r="H594" s="18">
        <v>0</v>
      </c>
      <c r="I594" s="18">
        <v>0</v>
      </c>
      <c r="J594" s="18">
        <v>0</v>
      </c>
      <c r="K594" s="103">
        <f t="shared" si="49"/>
        <v>0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4">
        <v>23</v>
      </c>
      <c r="C595" s="74">
        <v>6</v>
      </c>
      <c r="D595" s="2" t="s">
        <v>433</v>
      </c>
      <c r="E595" s="74"/>
      <c r="F595" s="101">
        <v>2726</v>
      </c>
      <c r="G595" s="102" t="s">
        <v>97</v>
      </c>
      <c r="H595" s="18">
        <v>0</v>
      </c>
      <c r="I595" s="18">
        <v>0</v>
      </c>
      <c r="J595" s="18">
        <v>0</v>
      </c>
      <c r="K595" s="103">
        <f t="shared" si="49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4">
        <v>23</v>
      </c>
      <c r="C596" s="74">
        <v>7</v>
      </c>
      <c r="D596" s="2" t="s">
        <v>433</v>
      </c>
      <c r="E596" s="74"/>
      <c r="F596" s="101">
        <v>2729</v>
      </c>
      <c r="G596" s="102" t="s">
        <v>97</v>
      </c>
      <c r="H596" s="18">
        <v>0</v>
      </c>
      <c r="I596" s="18">
        <v>0</v>
      </c>
      <c r="J596" s="18">
        <v>0</v>
      </c>
      <c r="K596" s="103">
        <f t="shared" si="49"/>
        <v>0</v>
      </c>
      <c r="L596" s="24" t="s">
        <v>289</v>
      </c>
      <c r="M596" s="8"/>
    </row>
    <row r="597" spans="1:13" s="3" customFormat="1" ht="12" customHeight="1" thickTop="1" x14ac:dyDescent="0.15">
      <c r="A597" s="97" t="s">
        <v>341</v>
      </c>
      <c r="B597" s="44">
        <v>23</v>
      </c>
      <c r="C597" s="44">
        <v>8</v>
      </c>
      <c r="D597" s="39" t="s">
        <v>433</v>
      </c>
      <c r="E597" s="44"/>
      <c r="F597" s="146">
        <v>2700</v>
      </c>
      <c r="G597" s="147" t="s">
        <v>97</v>
      </c>
      <c r="H597" s="107">
        <f>SUM(H590:H596)</f>
        <v>143540.90524539878</v>
      </c>
      <c r="I597" s="107">
        <f>SUM(I590:I596)</f>
        <v>28084.875644171774</v>
      </c>
      <c r="J597" s="107">
        <f>SUM(J590:J596)</f>
        <v>70212.189110429448</v>
      </c>
      <c r="K597" s="107">
        <f>SUM(K590:K596)</f>
        <v>241837.96999999997</v>
      </c>
      <c r="L597" s="24" t="s">
        <v>289</v>
      </c>
      <c r="M597" s="8"/>
    </row>
    <row r="598" spans="1:13" s="3" customFormat="1" ht="12" customHeight="1" x14ac:dyDescent="0.15">
      <c r="A598" s="22"/>
      <c r="B598" s="104"/>
      <c r="C598" s="104"/>
      <c r="D598" s="104"/>
      <c r="E598" s="104"/>
      <c r="F598" s="102"/>
      <c r="G598" s="102"/>
      <c r="H598" s="102"/>
      <c r="I598" s="102"/>
      <c r="J598" s="102"/>
      <c r="K598" s="102"/>
      <c r="L598" s="102"/>
      <c r="M598" s="8"/>
    </row>
    <row r="599" spans="1:13" s="3" customFormat="1" ht="12" customHeight="1" x14ac:dyDescent="0.15">
      <c r="A599" s="95" t="s">
        <v>98</v>
      </c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</row>
    <row r="600" spans="1:13" s="3" customFormat="1" ht="12" customHeight="1" x14ac:dyDescent="0.15">
      <c r="A600" s="95" t="s">
        <v>89</v>
      </c>
      <c r="B600" s="104"/>
      <c r="C600" s="104"/>
      <c r="D600" s="104"/>
      <c r="E600" s="104"/>
      <c r="F600" s="102" t="s">
        <v>94</v>
      </c>
      <c r="G600" s="102" t="s">
        <v>95</v>
      </c>
      <c r="H600" s="102" t="s">
        <v>61</v>
      </c>
      <c r="I600" s="102" t="s">
        <v>96</v>
      </c>
      <c r="J600" s="102" t="s">
        <v>62</v>
      </c>
      <c r="K600" s="102" t="s">
        <v>5</v>
      </c>
      <c r="L600" s="102"/>
      <c r="M600" s="8"/>
    </row>
    <row r="601" spans="1:13" s="3" customFormat="1" ht="12" customHeight="1" x14ac:dyDescent="0.15">
      <c r="A601" s="22" t="s">
        <v>646</v>
      </c>
      <c r="B601" s="104">
        <v>23</v>
      </c>
      <c r="C601" s="104">
        <v>9</v>
      </c>
      <c r="D601" s="2" t="s">
        <v>433</v>
      </c>
      <c r="E601" s="104"/>
      <c r="F601" s="102" t="s">
        <v>477</v>
      </c>
      <c r="G601" s="101">
        <v>710</v>
      </c>
      <c r="H601" s="18">
        <v>0</v>
      </c>
      <c r="I601" s="18">
        <v>0</v>
      </c>
      <c r="J601" s="18">
        <v>0</v>
      </c>
      <c r="K601" s="103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4">
        <v>23</v>
      </c>
      <c r="C602" s="104">
        <v>10</v>
      </c>
      <c r="D602" s="2" t="s">
        <v>433</v>
      </c>
      <c r="E602" s="104"/>
      <c r="F602" s="102" t="s">
        <v>477</v>
      </c>
      <c r="G602" s="101">
        <v>720</v>
      </c>
      <c r="H602" s="18">
        <v>0</v>
      </c>
      <c r="I602" s="18">
        <v>0</v>
      </c>
      <c r="J602" s="18">
        <v>0</v>
      </c>
      <c r="K602" s="103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4">
        <v>23</v>
      </c>
      <c r="C603" s="104">
        <v>11</v>
      </c>
      <c r="D603" s="2" t="s">
        <v>433</v>
      </c>
      <c r="E603" s="104"/>
      <c r="F603" s="102" t="s">
        <v>477</v>
      </c>
      <c r="G603" s="101">
        <v>730</v>
      </c>
      <c r="H603" s="18">
        <f>J210+J351</f>
        <v>58080.75</v>
      </c>
      <c r="I603" s="18">
        <v>0</v>
      </c>
      <c r="J603" s="18">
        <v>0</v>
      </c>
      <c r="K603" s="103">
        <f>SUM(H603:J603)</f>
        <v>58080.75</v>
      </c>
      <c r="L603" s="24" t="s">
        <v>289</v>
      </c>
      <c r="M603" s="8"/>
    </row>
    <row r="604" spans="1:13" s="3" customFormat="1" ht="12" customHeight="1" thickTop="1" x14ac:dyDescent="0.15">
      <c r="A604" s="97" t="s">
        <v>341</v>
      </c>
      <c r="B604" s="44">
        <v>23</v>
      </c>
      <c r="C604" s="44">
        <v>12</v>
      </c>
      <c r="D604" s="39" t="s">
        <v>433</v>
      </c>
      <c r="E604" s="44"/>
      <c r="F604" s="147" t="s">
        <v>477</v>
      </c>
      <c r="G604" s="146">
        <v>700</v>
      </c>
      <c r="H604" s="107">
        <f>SUM(H601:H603)</f>
        <v>58080.75</v>
      </c>
      <c r="I604" s="107">
        <f>SUM(I601:I603)</f>
        <v>0</v>
      </c>
      <c r="J604" s="107">
        <f>SUM(J601:J603)</f>
        <v>0</v>
      </c>
      <c r="K604" s="107">
        <f>SUM(K601:K603)</f>
        <v>58080.75</v>
      </c>
      <c r="L604" s="24" t="s">
        <v>289</v>
      </c>
      <c r="M604" s="8"/>
    </row>
    <row r="605" spans="1:13" s="3" customFormat="1" ht="12" customHeight="1" x14ac:dyDescent="0.15">
      <c r="A605" s="22"/>
      <c r="B605" s="104"/>
      <c r="C605" s="104"/>
      <c r="D605" s="104"/>
      <c r="E605" s="104"/>
      <c r="F605" s="102"/>
      <c r="G605" s="102"/>
      <c r="H605" s="102"/>
      <c r="I605" s="102"/>
      <c r="J605" s="102"/>
      <c r="K605" s="102"/>
      <c r="L605" s="87"/>
      <c r="M605" s="8"/>
    </row>
    <row r="606" spans="1:13" s="3" customFormat="1" ht="12" customHeight="1" x14ac:dyDescent="0.15">
      <c r="A606" s="95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</row>
    <row r="607" spans="1:13" s="3" customFormat="1" ht="12" customHeight="1" x14ac:dyDescent="0.15">
      <c r="A607" s="95" t="s">
        <v>584</v>
      </c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</row>
    <row r="608" spans="1:13" s="3" customFormat="1" ht="12" customHeight="1" x14ac:dyDescent="0.15">
      <c r="B608" s="104"/>
      <c r="C608" s="104"/>
      <c r="D608" s="104"/>
      <c r="E608" s="104"/>
      <c r="F608" s="175" t="s">
        <v>693</v>
      </c>
      <c r="G608" s="175" t="s">
        <v>694</v>
      </c>
      <c r="H608" s="175" t="s">
        <v>695</v>
      </c>
      <c r="I608" s="175" t="s">
        <v>696</v>
      </c>
      <c r="J608" s="175" t="s">
        <v>697</v>
      </c>
      <c r="K608" s="175" t="s">
        <v>698</v>
      </c>
      <c r="L608" s="87"/>
      <c r="M608" s="8"/>
    </row>
    <row r="609" spans="1:13" s="3" customFormat="1" ht="12" customHeight="1" x14ac:dyDescent="0.15">
      <c r="A609" s="95" t="s">
        <v>89</v>
      </c>
      <c r="B609" s="104"/>
      <c r="C609" s="104"/>
      <c r="D609" s="104"/>
      <c r="E609" s="104"/>
      <c r="F609" s="102" t="s">
        <v>54</v>
      </c>
      <c r="G609" s="102" t="s">
        <v>55</v>
      </c>
      <c r="H609" s="102" t="s">
        <v>56</v>
      </c>
      <c r="I609" s="102" t="s">
        <v>57</v>
      </c>
      <c r="J609" s="102" t="s">
        <v>58</v>
      </c>
      <c r="K609" s="102" t="s">
        <v>59</v>
      </c>
      <c r="L609" s="105" t="s">
        <v>5</v>
      </c>
      <c r="M609" s="8"/>
    </row>
    <row r="610" spans="1:13" s="3" customFormat="1" ht="12" customHeight="1" x14ac:dyDescent="0.15">
      <c r="A610" s="22" t="s">
        <v>637</v>
      </c>
      <c r="B610" s="74">
        <v>23</v>
      </c>
      <c r="C610" s="74">
        <v>13</v>
      </c>
      <c r="D610" s="2" t="s">
        <v>433</v>
      </c>
      <c r="E610" s="74"/>
      <c r="F610" s="18">
        <v>0</v>
      </c>
      <c r="G610" s="18">
        <v>0</v>
      </c>
      <c r="H610" s="18">
        <v>0</v>
      </c>
      <c r="I610" s="18">
        <v>0</v>
      </c>
      <c r="J610" s="18">
        <v>0</v>
      </c>
      <c r="K610" s="18">
        <v>0</v>
      </c>
      <c r="L610" s="87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4">
        <v>23</v>
      </c>
      <c r="C611" s="74">
        <v>14</v>
      </c>
      <c r="D611" s="2" t="s">
        <v>433</v>
      </c>
      <c r="E611" s="74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7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4">
        <v>23</v>
      </c>
      <c r="C612" s="74">
        <v>15</v>
      </c>
      <c r="D612" s="2" t="s">
        <v>433</v>
      </c>
      <c r="E612" s="74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7">
        <f>SUM(F612:K612)</f>
        <v>0</v>
      </c>
      <c r="M612" s="8"/>
    </row>
    <row r="613" spans="1:13" s="3" customFormat="1" ht="12" customHeight="1" thickTop="1" x14ac:dyDescent="0.15">
      <c r="A613" s="97" t="s">
        <v>341</v>
      </c>
      <c r="B613" s="106">
        <v>23</v>
      </c>
      <c r="C613" s="106">
        <v>16</v>
      </c>
      <c r="D613" s="39" t="s">
        <v>433</v>
      </c>
      <c r="E613" s="106"/>
      <c r="F613" s="107">
        <f t="shared" ref="F613:L613" si="50">SUM(F610:F612)</f>
        <v>0</v>
      </c>
      <c r="G613" s="107">
        <f t="shared" si="50"/>
        <v>0</v>
      </c>
      <c r="H613" s="107">
        <f t="shared" si="50"/>
        <v>0</v>
      </c>
      <c r="I613" s="107">
        <f t="shared" si="50"/>
        <v>0</v>
      </c>
      <c r="J613" s="107">
        <f t="shared" si="50"/>
        <v>0</v>
      </c>
      <c r="K613" s="107">
        <f t="shared" si="50"/>
        <v>0</v>
      </c>
      <c r="L613" s="88">
        <f t="shared" si="50"/>
        <v>0</v>
      </c>
      <c r="M613" s="8"/>
    </row>
    <row r="614" spans="1:13" s="3" customFormat="1" ht="12" customHeight="1" x14ac:dyDescent="0.15">
      <c r="A614" s="96"/>
      <c r="B614" s="104"/>
      <c r="C614" s="104"/>
      <c r="D614" s="104"/>
      <c r="E614" s="104"/>
      <c r="F614" s="108"/>
      <c r="G614" s="108"/>
      <c r="H614" s="108"/>
      <c r="I614" s="108"/>
      <c r="J614" s="108"/>
      <c r="K614" s="108"/>
      <c r="L614" s="108"/>
      <c r="M614" s="8"/>
    </row>
    <row r="615" spans="1:13" s="3" customFormat="1" ht="12" customHeight="1" x14ac:dyDescent="0.15">
      <c r="A615" s="96"/>
      <c r="B615" s="104"/>
      <c r="C615" s="104"/>
      <c r="D615" s="104"/>
      <c r="E615" s="104"/>
      <c r="F615" s="148" t="s">
        <v>53</v>
      </c>
      <c r="G615" s="149"/>
      <c r="H615" s="149"/>
      <c r="I615" s="148" t="s">
        <v>53</v>
      </c>
      <c r="J615" s="108"/>
      <c r="K615" s="108"/>
      <c r="L615" s="108"/>
      <c r="M615" s="8"/>
    </row>
    <row r="616" spans="1:13" s="3" customFormat="1" ht="12" customHeight="1" x14ac:dyDescent="0.15">
      <c r="A616" s="96" t="s">
        <v>99</v>
      </c>
      <c r="B616" s="104"/>
      <c r="C616" s="104"/>
      <c r="D616" s="104"/>
      <c r="E616" s="104"/>
      <c r="F616" s="120" t="s">
        <v>687</v>
      </c>
      <c r="G616" s="108">
        <f>SUM(F19)</f>
        <v>211804.62</v>
      </c>
      <c r="H616" s="108">
        <f>SUM(F51)</f>
        <v>211804.62</v>
      </c>
      <c r="I616" s="120" t="s">
        <v>901</v>
      </c>
      <c r="J616" s="108">
        <f>G616-H616</f>
        <v>0</v>
      </c>
      <c r="K616" s="108"/>
      <c r="L616" s="108"/>
      <c r="M616" s="8"/>
    </row>
    <row r="617" spans="1:13" s="3" customFormat="1" ht="12" customHeight="1" x14ac:dyDescent="0.15">
      <c r="A617" s="96" t="s">
        <v>100</v>
      </c>
      <c r="B617" s="104"/>
      <c r="C617" s="104"/>
      <c r="D617" s="104"/>
      <c r="E617" s="104"/>
      <c r="F617" s="120" t="s">
        <v>688</v>
      </c>
      <c r="G617" s="108">
        <f>SUM(G19)</f>
        <v>63399.46</v>
      </c>
      <c r="H617" s="108">
        <f>SUM(G51)</f>
        <v>63399.46</v>
      </c>
      <c r="I617" s="120" t="s">
        <v>902</v>
      </c>
      <c r="J617" s="108">
        <f>G617-H617</f>
        <v>0</v>
      </c>
      <c r="K617" s="108"/>
      <c r="L617" s="108"/>
      <c r="M617" s="8"/>
    </row>
    <row r="618" spans="1:13" s="3" customFormat="1" ht="12" customHeight="1" x14ac:dyDescent="0.15">
      <c r="A618" s="96"/>
      <c r="B618" s="104"/>
      <c r="C618" s="104"/>
      <c r="D618" s="104"/>
      <c r="E618" s="104"/>
      <c r="F618" s="120" t="s">
        <v>689</v>
      </c>
      <c r="G618" s="108">
        <f>SUM(H19)</f>
        <v>92148.67</v>
      </c>
      <c r="H618" s="108">
        <f>SUM(H51)</f>
        <v>92148.67</v>
      </c>
      <c r="I618" s="120" t="s">
        <v>903</v>
      </c>
      <c r="J618" s="108">
        <f>G618-H618</f>
        <v>0</v>
      </c>
      <c r="K618" s="108"/>
      <c r="L618" s="108"/>
      <c r="M618" s="8"/>
    </row>
    <row r="619" spans="1:13" s="3" customFormat="1" ht="12" customHeight="1" x14ac:dyDescent="0.15">
      <c r="A619" s="96"/>
      <c r="B619" s="104"/>
      <c r="C619" s="104"/>
      <c r="D619" s="104"/>
      <c r="E619" s="104"/>
      <c r="F619" s="120" t="s">
        <v>690</v>
      </c>
      <c r="G619" s="108">
        <f>SUM(I19)</f>
        <v>0</v>
      </c>
      <c r="H619" s="108">
        <f>SUM(I51)</f>
        <v>0</v>
      </c>
      <c r="I619" s="120" t="s">
        <v>904</v>
      </c>
      <c r="J619" s="108">
        <f>G619-H619</f>
        <v>0</v>
      </c>
      <c r="K619" s="108"/>
      <c r="L619" s="108"/>
      <c r="M619" s="8"/>
    </row>
    <row r="620" spans="1:13" s="3" customFormat="1" ht="12" customHeight="1" x14ac:dyDescent="0.15">
      <c r="A620" s="96"/>
      <c r="B620" s="104"/>
      <c r="C620" s="104"/>
      <c r="D620" s="104"/>
      <c r="E620" s="104"/>
      <c r="F620" s="120" t="s">
        <v>691</v>
      </c>
      <c r="G620" s="108">
        <f>SUM(J19)</f>
        <v>78546.420000000013</v>
      </c>
      <c r="H620" s="108">
        <f>SUM(J51)</f>
        <v>78546.420000000013</v>
      </c>
      <c r="I620" s="120" t="s">
        <v>905</v>
      </c>
      <c r="J620" s="108">
        <f>G620-H620</f>
        <v>0</v>
      </c>
      <c r="K620" s="108"/>
      <c r="L620" s="108"/>
      <c r="M620" s="8"/>
    </row>
    <row r="621" spans="1:13" s="3" customFormat="1" ht="12" customHeight="1" x14ac:dyDescent="0.15">
      <c r="A621" s="96"/>
      <c r="B621" s="104"/>
      <c r="C621" s="104"/>
      <c r="D621" s="104"/>
      <c r="E621" s="104"/>
      <c r="F621" s="120" t="s">
        <v>896</v>
      </c>
      <c r="G621" s="108">
        <f>F50</f>
        <v>164816.41999999998</v>
      </c>
      <c r="H621" s="108">
        <f>F475</f>
        <v>164816.41999999899</v>
      </c>
      <c r="I621" s="120" t="s">
        <v>101</v>
      </c>
      <c r="J621" s="108">
        <f t="shared" ref="J621:J654" si="51">G621-H621</f>
        <v>9.8953023552894592E-10</v>
      </c>
      <c r="K621" s="108"/>
      <c r="L621" s="108"/>
      <c r="M621" s="8"/>
    </row>
    <row r="622" spans="1:13" s="3" customFormat="1" ht="12" customHeight="1" x14ac:dyDescent="0.15">
      <c r="A622" s="96"/>
      <c r="B622" s="104"/>
      <c r="C622" s="118"/>
      <c r="D622" s="118"/>
      <c r="E622" s="118"/>
      <c r="F622" s="118" t="s">
        <v>897</v>
      </c>
      <c r="G622" s="108">
        <f>G50</f>
        <v>2439.92</v>
      </c>
      <c r="H622" s="108">
        <f>G475</f>
        <v>2439.9199999999983</v>
      </c>
      <c r="I622" s="120" t="s">
        <v>102</v>
      </c>
      <c r="J622" s="108">
        <f t="shared" si="51"/>
        <v>0</v>
      </c>
      <c r="K622" s="108"/>
      <c r="L622" s="108"/>
      <c r="M622" s="8"/>
    </row>
    <row r="623" spans="1:13" s="3" customFormat="1" ht="12" customHeight="1" x14ac:dyDescent="0.15">
      <c r="A623" s="96"/>
      <c r="B623" s="104"/>
      <c r="C623" s="104"/>
      <c r="D623" s="104"/>
      <c r="E623" s="104"/>
      <c r="F623" s="119" t="s">
        <v>898</v>
      </c>
      <c r="G623" s="108">
        <f>H50</f>
        <v>0</v>
      </c>
      <c r="H623" s="108">
        <f>H475</f>
        <v>0</v>
      </c>
      <c r="I623" s="120" t="s">
        <v>103</v>
      </c>
      <c r="J623" s="108">
        <f t="shared" si="51"/>
        <v>0</v>
      </c>
      <c r="K623" s="108"/>
      <c r="L623" s="108"/>
      <c r="M623" s="8"/>
    </row>
    <row r="624" spans="1:13" s="3" customFormat="1" ht="12" customHeight="1" x14ac:dyDescent="0.15">
      <c r="A624" s="96"/>
      <c r="B624" s="104"/>
      <c r="C624" s="104"/>
      <c r="D624" s="104"/>
      <c r="E624" s="104"/>
      <c r="F624" s="119" t="s">
        <v>899</v>
      </c>
      <c r="G624" s="108">
        <f>I50</f>
        <v>0</v>
      </c>
      <c r="H624" s="108">
        <f>I475</f>
        <v>0</v>
      </c>
      <c r="I624" s="120" t="s">
        <v>104</v>
      </c>
      <c r="J624" s="108">
        <f t="shared" si="51"/>
        <v>0</v>
      </c>
      <c r="K624" s="108"/>
      <c r="L624" s="108"/>
      <c r="M624" s="8"/>
    </row>
    <row r="625" spans="1:13" s="3" customFormat="1" ht="12" customHeight="1" x14ac:dyDescent="0.15">
      <c r="A625" s="22"/>
      <c r="B625" s="104"/>
      <c r="C625" s="104"/>
      <c r="D625" s="104"/>
      <c r="E625" s="104"/>
      <c r="F625" s="119" t="s">
        <v>900</v>
      </c>
      <c r="G625" s="108">
        <f>J50</f>
        <v>78546.420000000013</v>
      </c>
      <c r="H625" s="108">
        <f>J475</f>
        <v>78546.42</v>
      </c>
      <c r="I625" s="139" t="s">
        <v>105</v>
      </c>
      <c r="J625" s="108">
        <f t="shared" si="51"/>
        <v>0</v>
      </c>
      <c r="K625" s="84"/>
      <c r="L625" s="87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662</v>
      </c>
      <c r="G626" s="108">
        <f>F192</f>
        <v>4771100.4099999992</v>
      </c>
      <c r="H626" s="103">
        <f>SUM(F467)</f>
        <v>4771100.4099999992</v>
      </c>
      <c r="I626" s="139" t="s">
        <v>106</v>
      </c>
      <c r="J626" s="108">
        <f>G626-H626</f>
        <v>0</v>
      </c>
      <c r="K626" s="84"/>
      <c r="L626" s="87"/>
      <c r="M626" s="8"/>
    </row>
    <row r="627" spans="1:13" s="3" customFormat="1" ht="12" customHeight="1" x14ac:dyDescent="0.15">
      <c r="A627" s="22"/>
      <c r="B627" s="104"/>
      <c r="C627" s="104"/>
      <c r="D627" s="104"/>
      <c r="E627" s="104"/>
      <c r="F627" s="119" t="s">
        <v>663</v>
      </c>
      <c r="G627" s="108">
        <f>G192</f>
        <v>50737.45</v>
      </c>
      <c r="H627" s="103">
        <f>SUM(G467)</f>
        <v>50737.45</v>
      </c>
      <c r="I627" s="139" t="s">
        <v>107</v>
      </c>
      <c r="J627" s="108">
        <f>G627-H627</f>
        <v>0</v>
      </c>
      <c r="K627" s="84"/>
      <c r="L627" s="87"/>
      <c r="M627" s="8"/>
    </row>
    <row r="628" spans="1:13" s="3" customFormat="1" ht="12" customHeight="1" x14ac:dyDescent="0.15">
      <c r="A628" s="22"/>
      <c r="B628" s="104"/>
      <c r="C628" s="104"/>
      <c r="D628" s="104"/>
      <c r="E628" s="104"/>
      <c r="F628" s="119" t="s">
        <v>664</v>
      </c>
      <c r="G628" s="108">
        <f>H192</f>
        <v>69675.33</v>
      </c>
      <c r="H628" s="103">
        <f>SUM(H467)</f>
        <v>69675.33</v>
      </c>
      <c r="I628" s="139" t="s">
        <v>108</v>
      </c>
      <c r="J628" s="108">
        <f>G628-H628</f>
        <v>0</v>
      </c>
      <c r="K628" s="84"/>
      <c r="L628" s="87"/>
      <c r="M628" s="8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665</v>
      </c>
      <c r="G629" s="108">
        <f>I192</f>
        <v>0</v>
      </c>
      <c r="H629" s="103">
        <f>SUM(I467)</f>
        <v>0</v>
      </c>
      <c r="I629" s="139" t="s">
        <v>109</v>
      </c>
      <c r="J629" s="108">
        <f>G629-H629</f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666</v>
      </c>
      <c r="G630" s="108">
        <f>J192</f>
        <v>10048.36</v>
      </c>
      <c r="H630" s="103">
        <f>SUM(J467)</f>
        <v>10048.36</v>
      </c>
      <c r="I630" s="139" t="s">
        <v>110</v>
      </c>
      <c r="J630" s="108">
        <f>G630-H630</f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395</v>
      </c>
      <c r="G631" s="108">
        <f>SUM(L270)</f>
        <v>4731393.05</v>
      </c>
      <c r="H631" s="103">
        <f>SUM(F471)</f>
        <v>4731393.05</v>
      </c>
      <c r="I631" s="139" t="s">
        <v>111</v>
      </c>
      <c r="J631" s="108">
        <f t="shared" si="51"/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396</v>
      </c>
      <c r="G632" s="108">
        <f>SUM(L351)</f>
        <v>69675.33</v>
      </c>
      <c r="H632" s="103">
        <f>SUM(H471)</f>
        <v>69675.33</v>
      </c>
      <c r="I632" s="139" t="s">
        <v>112</v>
      </c>
      <c r="J632" s="108">
        <f>G632-H632</f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41" t="s">
        <v>247</v>
      </c>
      <c r="G633" s="108">
        <f>I361</f>
        <v>957.84</v>
      </c>
      <c r="H633" s="103">
        <f>I368</f>
        <v>957.84</v>
      </c>
      <c r="I633" s="142" t="s">
        <v>248</v>
      </c>
      <c r="J633" s="108">
        <f>G633-H633</f>
        <v>0</v>
      </c>
      <c r="K633" s="84"/>
      <c r="L633" s="87"/>
      <c r="M633" s="8"/>
    </row>
    <row r="634" spans="1:13" s="167" customFormat="1" ht="12" customHeight="1" x14ac:dyDescent="0.15">
      <c r="A634" s="22"/>
      <c r="B634" s="104"/>
      <c r="C634" s="104"/>
      <c r="D634" s="104"/>
      <c r="E634" s="104"/>
      <c r="F634" s="119" t="s">
        <v>113</v>
      </c>
      <c r="G634" s="108">
        <f>SUM(L361)</f>
        <v>46477.82</v>
      </c>
      <c r="H634" s="103">
        <f>SUM(G471)</f>
        <v>46477.82</v>
      </c>
      <c r="I634" s="139" t="s">
        <v>114</v>
      </c>
      <c r="J634" s="108">
        <f t="shared" si="51"/>
        <v>0</v>
      </c>
      <c r="K634" s="84"/>
      <c r="L634" s="87"/>
      <c r="M634" s="166"/>
    </row>
    <row r="635" spans="1:13" s="167" customFormat="1" ht="12" customHeight="1" x14ac:dyDescent="0.15">
      <c r="A635" s="22"/>
      <c r="B635" s="104"/>
      <c r="C635" s="104"/>
      <c r="D635" s="104"/>
      <c r="E635" s="104"/>
      <c r="F635" s="119" t="s">
        <v>115</v>
      </c>
      <c r="G635" s="108">
        <f>SUM(L381)</f>
        <v>0</v>
      </c>
      <c r="H635" s="103">
        <f>SUM(I471)</f>
        <v>0</v>
      </c>
      <c r="I635" s="139" t="s">
        <v>116</v>
      </c>
      <c r="J635" s="108">
        <f t="shared" si="51"/>
        <v>0</v>
      </c>
      <c r="K635" s="84"/>
      <c r="L635" s="87"/>
      <c r="M635" s="166"/>
    </row>
    <row r="636" spans="1:13" s="3" customFormat="1" ht="12" customHeight="1" x14ac:dyDescent="0.15">
      <c r="A636" s="159"/>
      <c r="B636" s="160"/>
      <c r="C636" s="160"/>
      <c r="D636" s="160"/>
      <c r="E636" s="160"/>
      <c r="F636" s="161" t="s">
        <v>478</v>
      </c>
      <c r="G636" s="149">
        <f>SUM(L407)</f>
        <v>10048.36</v>
      </c>
      <c r="H636" s="162">
        <f>SUM(J467)</f>
        <v>10048.36</v>
      </c>
      <c r="I636" s="163" t="s">
        <v>110</v>
      </c>
      <c r="J636" s="149">
        <f t="shared" si="51"/>
        <v>0</v>
      </c>
      <c r="K636" s="164"/>
      <c r="L636" s="165"/>
      <c r="M636" s="8"/>
    </row>
    <row r="637" spans="1:13" s="3" customFormat="1" ht="12" customHeight="1" x14ac:dyDescent="0.15">
      <c r="A637" s="159"/>
      <c r="B637" s="160"/>
      <c r="C637" s="160"/>
      <c r="D637" s="160"/>
      <c r="E637" s="160"/>
      <c r="F637" s="161" t="s">
        <v>479</v>
      </c>
      <c r="G637" s="149">
        <f>SUM(L433)</f>
        <v>61222.61</v>
      </c>
      <c r="H637" s="162">
        <f>SUM(J471)</f>
        <v>61222.61</v>
      </c>
      <c r="I637" s="163" t="s">
        <v>117</v>
      </c>
      <c r="J637" s="149">
        <f t="shared" si="51"/>
        <v>0</v>
      </c>
      <c r="K637" s="164"/>
      <c r="L637" s="165"/>
      <c r="M637" s="8"/>
    </row>
    <row r="638" spans="1:13" s="3" customFormat="1" ht="12" customHeight="1" x14ac:dyDescent="0.15">
      <c r="A638" s="22"/>
      <c r="B638" s="104"/>
      <c r="C638" s="104"/>
      <c r="D638" s="104"/>
      <c r="E638" s="104"/>
      <c r="F638" s="119" t="s">
        <v>118</v>
      </c>
      <c r="G638" s="108">
        <f>SUM(F445)</f>
        <v>78546.420000000013</v>
      </c>
      <c r="H638" s="103">
        <f>SUM(F460)</f>
        <v>78546.420000000013</v>
      </c>
      <c r="I638" s="139" t="s">
        <v>868</v>
      </c>
      <c r="J638" s="108">
        <f t="shared" si="51"/>
        <v>0</v>
      </c>
      <c r="K638" s="84"/>
      <c r="L638" s="87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119</v>
      </c>
      <c r="G639" s="108">
        <f>SUM(G445)</f>
        <v>0</v>
      </c>
      <c r="H639" s="103">
        <f>SUM(G460)</f>
        <v>0</v>
      </c>
      <c r="I639" s="139" t="s">
        <v>869</v>
      </c>
      <c r="J639" s="108">
        <f t="shared" si="51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120</v>
      </c>
      <c r="G640" s="108">
        <f>SUM(H445)</f>
        <v>0</v>
      </c>
      <c r="H640" s="103">
        <f>SUM(H460)</f>
        <v>0</v>
      </c>
      <c r="I640" s="139" t="s">
        <v>870</v>
      </c>
      <c r="J640" s="108">
        <f t="shared" si="51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121</v>
      </c>
      <c r="G641" s="108">
        <f>SUM(I445)</f>
        <v>78546.420000000013</v>
      </c>
      <c r="H641" s="103">
        <f>SUM(I460)</f>
        <v>78546.420000000013</v>
      </c>
      <c r="I641" s="139" t="s">
        <v>871</v>
      </c>
      <c r="J641" s="108">
        <f t="shared" si="51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249</v>
      </c>
      <c r="G642" s="108">
        <f>J56</f>
        <v>0</v>
      </c>
      <c r="H642" s="103">
        <f>F407</f>
        <v>0</v>
      </c>
      <c r="I642" s="139" t="s">
        <v>480</v>
      </c>
      <c r="J642" s="108">
        <f t="shared" si="51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667</v>
      </c>
      <c r="G643" s="108">
        <f>J95</f>
        <v>48.36</v>
      </c>
      <c r="H643" s="103">
        <f>H407</f>
        <v>48.36</v>
      </c>
      <c r="I643" s="139" t="s">
        <v>481</v>
      </c>
      <c r="J643" s="108">
        <f t="shared" si="51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668</v>
      </c>
      <c r="G644" s="108">
        <f>J182</f>
        <v>10000</v>
      </c>
      <c r="H644" s="103">
        <f>G407</f>
        <v>10000</v>
      </c>
      <c r="I644" s="139" t="s">
        <v>482</v>
      </c>
      <c r="J644" s="108">
        <f t="shared" si="51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666</v>
      </c>
      <c r="G645" s="108">
        <f>J192</f>
        <v>10048.36</v>
      </c>
      <c r="H645" s="103">
        <f>L407</f>
        <v>10048.36</v>
      </c>
      <c r="I645" s="139" t="s">
        <v>478</v>
      </c>
      <c r="J645" s="108">
        <f t="shared" si="51"/>
        <v>0</v>
      </c>
      <c r="K645" s="84"/>
      <c r="L645" s="87"/>
      <c r="M645" s="8"/>
    </row>
    <row r="646" spans="1:13" s="3" customFormat="1" ht="12" customHeight="1" x14ac:dyDescent="0.15">
      <c r="A646" s="22"/>
      <c r="B646" s="104"/>
      <c r="C646" s="104"/>
      <c r="D646" s="104"/>
      <c r="E646" s="104"/>
      <c r="F646" s="119" t="s">
        <v>51</v>
      </c>
      <c r="G646" s="108">
        <f>K597</f>
        <v>241837.96999999997</v>
      </c>
      <c r="H646" s="103">
        <f>L207+L225+L243</f>
        <v>241837.96999999997</v>
      </c>
      <c r="I646" s="139" t="s">
        <v>397</v>
      </c>
      <c r="J646" s="108">
        <f t="shared" si="51"/>
        <v>0</v>
      </c>
      <c r="K646" s="84"/>
      <c r="L646" s="87"/>
      <c r="M646" s="8"/>
    </row>
    <row r="647" spans="1:13" s="3" customFormat="1" ht="12" customHeight="1" x14ac:dyDescent="0.15">
      <c r="A647" s="22"/>
      <c r="B647" s="104"/>
      <c r="C647" s="104"/>
      <c r="D647" s="104"/>
      <c r="E647" s="104"/>
      <c r="F647" s="119" t="s">
        <v>52</v>
      </c>
      <c r="G647" s="108">
        <f>K604</f>
        <v>58080.75</v>
      </c>
      <c r="H647" s="103">
        <f>(J256+J337)-(J254+J335)</f>
        <v>58080.75</v>
      </c>
      <c r="I647" s="139" t="s">
        <v>703</v>
      </c>
      <c r="J647" s="108">
        <f t="shared" si="51"/>
        <v>0</v>
      </c>
      <c r="K647" s="84"/>
      <c r="L647" s="87"/>
      <c r="M647" s="8"/>
    </row>
    <row r="648" spans="1:13" s="3" customFormat="1" ht="12" customHeight="1" x14ac:dyDescent="0.15">
      <c r="A648" s="22"/>
      <c r="B648" s="104"/>
      <c r="C648" s="104"/>
      <c r="D648" s="104"/>
      <c r="E648" s="104"/>
      <c r="F648" s="119" t="s">
        <v>388</v>
      </c>
      <c r="G648" s="108">
        <f>L207</f>
        <v>143540.90524539875</v>
      </c>
      <c r="H648" s="103">
        <f>H597</f>
        <v>143540.90524539878</v>
      </c>
      <c r="I648" s="139" t="s">
        <v>389</v>
      </c>
      <c r="J648" s="108">
        <f t="shared" si="51"/>
        <v>0</v>
      </c>
      <c r="K648" s="84"/>
      <c r="L648" s="87"/>
      <c r="M648" s="8"/>
    </row>
    <row r="649" spans="1:13" s="3" customFormat="1" ht="12" customHeight="1" x14ac:dyDescent="0.15">
      <c r="A649" s="22"/>
      <c r="B649" s="104"/>
      <c r="C649" s="104"/>
      <c r="D649" s="104"/>
      <c r="E649" s="104"/>
      <c r="F649" s="119" t="s">
        <v>393</v>
      </c>
      <c r="G649" s="108">
        <f>L225</f>
        <v>28084.875644171774</v>
      </c>
      <c r="H649" s="103">
        <f>I597</f>
        <v>28084.875644171774</v>
      </c>
      <c r="I649" s="139" t="s">
        <v>390</v>
      </c>
      <c r="J649" s="108">
        <f t="shared" si="51"/>
        <v>0</v>
      </c>
      <c r="K649" s="84"/>
      <c r="L649" s="87"/>
      <c r="M649" s="8"/>
    </row>
    <row r="650" spans="1:13" s="3" customFormat="1" ht="12" customHeight="1" x14ac:dyDescent="0.15">
      <c r="A650" s="22"/>
      <c r="B650" s="104"/>
      <c r="C650" s="104"/>
      <c r="D650" s="104"/>
      <c r="E650" s="104"/>
      <c r="F650" s="119" t="s">
        <v>394</v>
      </c>
      <c r="G650" s="108">
        <f>L243</f>
        <v>70212.189110429434</v>
      </c>
      <c r="H650" s="103">
        <f>J597</f>
        <v>70212.189110429448</v>
      </c>
      <c r="I650" s="139" t="s">
        <v>391</v>
      </c>
      <c r="J650" s="108">
        <f t="shared" si="51"/>
        <v>0</v>
      </c>
      <c r="K650" s="84"/>
      <c r="L650" s="87"/>
      <c r="M650" s="8"/>
    </row>
    <row r="651" spans="1:13" s="3" customFormat="1" ht="12" customHeight="1" x14ac:dyDescent="0.15">
      <c r="A651" s="22"/>
      <c r="B651" s="104"/>
      <c r="C651" s="104"/>
      <c r="D651" s="104"/>
      <c r="E651" s="104"/>
      <c r="F651" s="119" t="s">
        <v>669</v>
      </c>
      <c r="G651" s="108">
        <f>G178</f>
        <v>12000</v>
      </c>
      <c r="H651" s="103">
        <f>K262+K344</f>
        <v>12000</v>
      </c>
      <c r="I651" s="139" t="s">
        <v>398</v>
      </c>
      <c r="J651" s="108">
        <f t="shared" si="51"/>
        <v>0</v>
      </c>
      <c r="K651" s="84"/>
      <c r="L651" s="87"/>
      <c r="M651" s="8"/>
    </row>
    <row r="652" spans="1:13" s="3" customFormat="1" ht="12" customHeight="1" x14ac:dyDescent="0.15">
      <c r="A652" s="22"/>
      <c r="B652" s="104"/>
      <c r="C652" s="104"/>
      <c r="D652" s="104"/>
      <c r="E652" s="104"/>
      <c r="F652" s="119" t="s">
        <v>670</v>
      </c>
      <c r="G652" s="108">
        <f>H178</f>
        <v>0</v>
      </c>
      <c r="H652" s="103">
        <f>K263</f>
        <v>0</v>
      </c>
      <c r="I652" s="139" t="s">
        <v>399</v>
      </c>
      <c r="J652" s="108">
        <f t="shared" si="51"/>
        <v>0</v>
      </c>
      <c r="K652" s="84"/>
      <c r="L652" s="87"/>
      <c r="M652" s="8"/>
    </row>
    <row r="653" spans="1:13" s="3" customFormat="1" ht="12" customHeight="1" x14ac:dyDescent="0.15">
      <c r="A653" s="22"/>
      <c r="B653" s="104"/>
      <c r="C653" s="104"/>
      <c r="D653" s="104"/>
      <c r="E653" s="104"/>
      <c r="F653" s="119" t="s">
        <v>671</v>
      </c>
      <c r="G653" s="108">
        <f>I178</f>
        <v>0</v>
      </c>
      <c r="H653" s="103">
        <f>K264+K345</f>
        <v>0</v>
      </c>
      <c r="I653" s="139" t="s">
        <v>400</v>
      </c>
      <c r="J653" s="108">
        <f t="shared" si="51"/>
        <v>0</v>
      </c>
      <c r="K653" s="84"/>
      <c r="L653" s="87"/>
      <c r="M653" s="8"/>
    </row>
    <row r="654" spans="1:13" s="3" customFormat="1" ht="12" customHeight="1" x14ac:dyDescent="0.15">
      <c r="A654" s="22"/>
      <c r="B654" s="104"/>
      <c r="C654" s="104"/>
      <c r="D654" s="104"/>
      <c r="E654" s="104"/>
      <c r="F654" s="119" t="s">
        <v>672</v>
      </c>
      <c r="G654" s="108">
        <f>J178+J180</f>
        <v>10000</v>
      </c>
      <c r="H654" s="103">
        <f>K265+K346</f>
        <v>10000</v>
      </c>
      <c r="I654" s="139" t="s">
        <v>401</v>
      </c>
      <c r="J654" s="108">
        <f t="shared" si="51"/>
        <v>0</v>
      </c>
      <c r="K654" s="84"/>
      <c r="L654" s="87"/>
      <c r="M654" s="8"/>
    </row>
    <row r="655" spans="1:13" s="3" customFormat="1" ht="12" customHeight="1" x14ac:dyDescent="0.15">
      <c r="A655" s="126"/>
      <c r="B655" s="126"/>
      <c r="C655" s="126"/>
      <c r="D655" s="126"/>
      <c r="E655" s="126"/>
      <c r="F655" s="26" t="s">
        <v>122</v>
      </c>
      <c r="G655" s="19"/>
      <c r="H655" s="103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3112161.0852453983</v>
      </c>
      <c r="G659" s="19">
        <f>(L228+L308+L358)</f>
        <v>520823.8256441718</v>
      </c>
      <c r="H659" s="19">
        <f>(L246+L327+L359)</f>
        <v>1192561.2891104296</v>
      </c>
      <c r="I659" s="19">
        <f>SUM(F659:H659)</f>
        <v>4825546.1999999993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19498.37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19498.37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143540.90524539875</v>
      </c>
      <c r="G661" s="19">
        <f>(L225+L305)-(J225+J305)</f>
        <v>28084.875644171774</v>
      </c>
      <c r="H661" s="19">
        <f>(L243+L324)-(J243+J324)</f>
        <v>70212.189110429434</v>
      </c>
      <c r="I661" s="19">
        <f>SUM(F661:H661)</f>
        <v>241837.96999999997</v>
      </c>
      <c r="J661"/>
      <c r="K661" s="13"/>
      <c r="L661" s="13"/>
      <c r="M661" s="8"/>
    </row>
    <row r="662" spans="1:13" s="3" customFormat="1" ht="12" customHeight="1" x14ac:dyDescent="0.15">
      <c r="A662" s="197" t="s">
        <v>129</v>
      </c>
      <c r="B662" s="167"/>
      <c r="C662" s="167"/>
      <c r="D662" s="167"/>
      <c r="E662" s="167"/>
      <c r="F662" s="198">
        <f>SUM(F574:F586)+SUM(H601:H603)+SUM(L610)</f>
        <v>101054.42</v>
      </c>
      <c r="G662" s="198">
        <f>SUM(G574:G586)+SUM(I601:I603)+L611</f>
        <v>492738.95</v>
      </c>
      <c r="H662" s="198">
        <f>SUM(H574:H586)+SUM(J601:J603)+L612</f>
        <v>1122349.0999999999</v>
      </c>
      <c r="I662" s="19">
        <f>SUM(F662:H662)</f>
        <v>1716142.4699999997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2848067.3899999997</v>
      </c>
      <c r="G663" s="19">
        <f>G659-SUM(G660:G662)</f>
        <v>0</v>
      </c>
      <c r="H663" s="19">
        <f>H659-SUM(H660:H662)</f>
        <v>0</v>
      </c>
      <c r="I663" s="19">
        <f>I659-SUM(I660:I662)</f>
        <v>2848067.3899999997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6">
        <v>184.6</v>
      </c>
      <c r="G664" s="247"/>
      <c r="H664" s="247"/>
      <c r="I664" s="19">
        <f>SUM(F664:H664)</f>
        <v>184.6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15428.32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15428.32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15428.32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15428.32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Rollinsford</v>
      </c>
      <c r="C1" s="237" t="s">
        <v>839</v>
      </c>
    </row>
    <row r="2" spans="1:3" x14ac:dyDescent="0.2">
      <c r="A2" s="232"/>
      <c r="B2" s="231"/>
    </row>
    <row r="3" spans="1:3" x14ac:dyDescent="0.2">
      <c r="A3" s="272" t="s">
        <v>784</v>
      </c>
      <c r="B3" s="272"/>
      <c r="C3" s="272"/>
    </row>
    <row r="4" spans="1:3" x14ac:dyDescent="0.2">
      <c r="A4" s="235"/>
      <c r="B4" s="236" t="str">
        <f>'DOE25'!H1</f>
        <v>DOE 25  2011-2012</v>
      </c>
      <c r="C4" s="235"/>
    </row>
    <row r="5" spans="1:3" x14ac:dyDescent="0.2">
      <c r="A5" s="232"/>
      <c r="B5" s="231"/>
    </row>
    <row r="6" spans="1:3" x14ac:dyDescent="0.2">
      <c r="A6" s="226"/>
      <c r="B6" s="271" t="s">
        <v>783</v>
      </c>
      <c r="C6" s="271"/>
    </row>
    <row r="7" spans="1:3" x14ac:dyDescent="0.2">
      <c r="A7" s="238" t="s">
        <v>786</v>
      </c>
      <c r="B7" s="269" t="s">
        <v>782</v>
      </c>
      <c r="C7" s="270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'DOE25'!F196+'DOE25'!F214+'DOE25'!F232+'DOE25'!F275+'DOE25'!F294+'DOE25'!F313</f>
        <v>917608.94000000006</v>
      </c>
      <c r="C9" s="228">
        <f>'DOE25'!G196+'DOE25'!G214+'DOE25'!G232+'DOE25'!G275+'DOE25'!G294+'DOE25'!G313</f>
        <v>378038.5</v>
      </c>
    </row>
    <row r="10" spans="1:3" x14ac:dyDescent="0.2">
      <c r="A10" t="s">
        <v>779</v>
      </c>
      <c r="B10" s="239">
        <f>743792.77+43231.19</f>
        <v>787023.96</v>
      </c>
      <c r="C10" s="239">
        <f>191568.31+8047.11+2851.46+1462.16+4356.94+58859.65+74597.82</f>
        <v>341743.45</v>
      </c>
    </row>
    <row r="11" spans="1:3" x14ac:dyDescent="0.2">
      <c r="A11" t="s">
        <v>780</v>
      </c>
      <c r="B11" s="239">
        <f>39906.1+19998.3+13642.63+30263.55</f>
        <v>103810.58</v>
      </c>
      <c r="C11" s="239">
        <f>3052.71+1529.87+1706.54</f>
        <v>6289.12</v>
      </c>
    </row>
    <row r="12" spans="1:3" x14ac:dyDescent="0.2">
      <c r="A12" t="s">
        <v>781</v>
      </c>
      <c r="B12" s="239">
        <v>26774.400000000001</v>
      </c>
      <c r="C12" s="239">
        <f>2048.45+14999.9+14.05+12943.53</f>
        <v>30005.93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917608.94</v>
      </c>
      <c r="C13" s="230">
        <f>SUM(C10:C12)</f>
        <v>378038.5</v>
      </c>
    </row>
    <row r="14" spans="1:3" x14ac:dyDescent="0.2">
      <c r="B14" s="229"/>
      <c r="C14" s="229"/>
    </row>
    <row r="15" spans="1:3" x14ac:dyDescent="0.2">
      <c r="B15" s="271" t="s">
        <v>783</v>
      </c>
      <c r="C15" s="271"/>
    </row>
    <row r="16" spans="1:3" x14ac:dyDescent="0.2">
      <c r="A16" s="238" t="s">
        <v>787</v>
      </c>
      <c r="B16" s="269" t="s">
        <v>707</v>
      </c>
      <c r="C16" s="270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'DOE25'!F197+'DOE25'!F215+'DOE25'!F233+'DOE25'!F276+'DOE25'!F295+'DOE25'!F314</f>
        <v>359370.30000000005</v>
      </c>
      <c r="C18" s="228">
        <f>'DOE25'!G197+'DOE25'!G215+'DOE25'!G233+'DOE25'!G276+'DOE25'!G295+'DOE25'!G314</f>
        <v>111026.93</v>
      </c>
    </row>
    <row r="19" spans="1:3" x14ac:dyDescent="0.2">
      <c r="A19" t="s">
        <v>779</v>
      </c>
      <c r="B19" s="239">
        <f>131117.22</f>
        <v>131117.22</v>
      </c>
      <c r="C19" s="239">
        <f>45701.52+1225.3+506.72+234+535.7+9427.51+14816.1</f>
        <v>72446.850000000006</v>
      </c>
    </row>
    <row r="20" spans="1:3" x14ac:dyDescent="0.2">
      <c r="A20" t="s">
        <v>780</v>
      </c>
      <c r="B20" s="239">
        <f>26839.24+176881.06+7180.5+17352.28</f>
        <v>228253.08</v>
      </c>
      <c r="C20" s="239">
        <f>2053.28+15171.37+1825.63+15872.17+811.66+1327.45+1050.54+467.98</f>
        <v>38580.080000000009</v>
      </c>
    </row>
    <row r="21" spans="1:3" x14ac:dyDescent="0.2">
      <c r="A21" t="s">
        <v>781</v>
      </c>
      <c r="B21" s="239">
        <v>0</v>
      </c>
      <c r="C21" s="239">
        <v>0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359370.3</v>
      </c>
      <c r="C22" s="230">
        <f>SUM(C19:C21)</f>
        <v>111026.93000000002</v>
      </c>
    </row>
    <row r="23" spans="1:3" x14ac:dyDescent="0.2">
      <c r="B23" s="229"/>
      <c r="C23" s="229"/>
    </row>
    <row r="24" spans="1:3" x14ac:dyDescent="0.2">
      <c r="B24" s="271" t="s">
        <v>783</v>
      </c>
      <c r="C24" s="271"/>
    </row>
    <row r="25" spans="1:3" x14ac:dyDescent="0.2">
      <c r="A25" s="238" t="s">
        <v>788</v>
      </c>
      <c r="B25" s="269" t="s">
        <v>708</v>
      </c>
      <c r="C25" s="270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'DOE25'!F198+'DOE25'!F216+'DOE25'!F234+'DOE25'!F277+'DOE25'!F296+'DOE25'!F315</f>
        <v>0</v>
      </c>
      <c r="C27" s="233">
        <f>'DOE25'!G198+'DOE25'!G216+'DOE25'!G234+'DOE25'!G277+'DOE25'!G296+'DOE25'!G315</f>
        <v>0</v>
      </c>
    </row>
    <row r="28" spans="1:3" x14ac:dyDescent="0.2">
      <c r="A28" t="s">
        <v>779</v>
      </c>
      <c r="B28" s="239">
        <v>0</v>
      </c>
      <c r="C28" s="239">
        <v>0</v>
      </c>
    </row>
    <row r="29" spans="1:3" x14ac:dyDescent="0.2">
      <c r="A29" t="s">
        <v>780</v>
      </c>
      <c r="B29" s="239">
        <v>0</v>
      </c>
      <c r="C29" s="239">
        <v>0</v>
      </c>
    </row>
    <row r="30" spans="1:3" x14ac:dyDescent="0.2">
      <c r="A30" t="s">
        <v>781</v>
      </c>
      <c r="B30" s="239">
        <v>0</v>
      </c>
      <c r="C30" s="239">
        <v>0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1" t="s">
        <v>783</v>
      </c>
      <c r="C33" s="271"/>
    </row>
    <row r="34" spans="1:3" x14ac:dyDescent="0.2">
      <c r="A34" s="238" t="s">
        <v>789</v>
      </c>
      <c r="B34" s="269" t="s">
        <v>709</v>
      </c>
      <c r="C34" s="270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'DOE25'!F199+'DOE25'!F217+'DOE25'!F235+'DOE25'!F278+'DOE25'!F297+'DOE25'!F316</f>
        <v>2160</v>
      </c>
      <c r="C36" s="234">
        <f>'DOE25'!G199+'DOE25'!G217+'DOE25'!G235+'DOE25'!G278+'DOE25'!G297+'DOE25'!G316</f>
        <v>409.32000000000005</v>
      </c>
    </row>
    <row r="37" spans="1:3" x14ac:dyDescent="0.2">
      <c r="A37" t="s">
        <v>779</v>
      </c>
      <c r="B37" s="239">
        <v>2160</v>
      </c>
      <c r="C37" s="239">
        <f>165.24+244.08</f>
        <v>409.32000000000005</v>
      </c>
    </row>
    <row r="38" spans="1:3" x14ac:dyDescent="0.2">
      <c r="A38" t="s">
        <v>780</v>
      </c>
      <c r="B38" s="239">
        <v>0</v>
      </c>
      <c r="C38" s="239">
        <v>0</v>
      </c>
    </row>
    <row r="39" spans="1:3" x14ac:dyDescent="0.2">
      <c r="A39" t="s">
        <v>781</v>
      </c>
      <c r="B39" s="239">
        <v>0</v>
      </c>
      <c r="C39" s="239">
        <v>0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2160</v>
      </c>
      <c r="C40" s="230">
        <f>SUM(C37:C39)</f>
        <v>409.32000000000005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1" activePane="bottomLeft" state="frozen"/>
      <selection pane="bottomLeft" activeCell="C29" sqref="C2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1" t="s">
        <v>790</v>
      </c>
      <c r="B1" s="276"/>
      <c r="C1" s="276"/>
      <c r="D1" s="276"/>
      <c r="E1" s="276"/>
      <c r="F1" s="276"/>
      <c r="G1" s="276"/>
      <c r="H1" s="276"/>
      <c r="I1" s="179"/>
    </row>
    <row r="2" spans="1:9" x14ac:dyDescent="0.2">
      <c r="A2" s="33" t="s">
        <v>717</v>
      </c>
      <c r="B2" s="264" t="str">
        <f>'DOE25'!A2</f>
        <v>Rollinsford</v>
      </c>
      <c r="C2" s="179"/>
      <c r="D2" s="179" t="s">
        <v>792</v>
      </c>
      <c r="E2" s="179" t="s">
        <v>794</v>
      </c>
      <c r="F2" s="273" t="s">
        <v>821</v>
      </c>
      <c r="G2" s="274"/>
      <c r="H2" s="275"/>
      <c r="I2" s="179"/>
    </row>
    <row r="3" spans="1:9" x14ac:dyDescent="0.2">
      <c r="A3" s="179" t="s">
        <v>94</v>
      </c>
      <c r="B3" s="227" t="s">
        <v>10</v>
      </c>
      <c r="C3" s="179" t="s">
        <v>5</v>
      </c>
      <c r="D3" s="179" t="s">
        <v>793</v>
      </c>
      <c r="E3" s="179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3507859.53</v>
      </c>
      <c r="D5" s="20">
        <f>SUM('DOE25'!L196:L199)+SUM('DOE25'!L214:L217)+SUM('DOE25'!L232:L235)-F5-G5</f>
        <v>3464624.86</v>
      </c>
      <c r="E5" s="242"/>
      <c r="F5" s="254">
        <f>SUM('DOE25'!J196:J199)+SUM('DOE25'!J214:J217)+SUM('DOE25'!J232:J235)</f>
        <v>43234.67</v>
      </c>
      <c r="G5" s="53">
        <f>SUM('DOE25'!K196:K199)+SUM('DOE25'!K214:K217)+SUM('DOE25'!K232:K235)</f>
        <v>0</v>
      </c>
      <c r="H5" s="258"/>
    </row>
    <row r="6" spans="1:9" x14ac:dyDescent="0.2">
      <c r="A6" s="32">
        <v>2100</v>
      </c>
      <c r="B6" t="s">
        <v>801</v>
      </c>
      <c r="C6" s="244">
        <f t="shared" si="0"/>
        <v>301855.33</v>
      </c>
      <c r="D6" s="20">
        <f>'DOE25'!L201+'DOE25'!L219+'DOE25'!L237-F6-G6</f>
        <v>301585.33</v>
      </c>
      <c r="E6" s="242"/>
      <c r="F6" s="254">
        <f>'DOE25'!J201+'DOE25'!J219+'DOE25'!J237</f>
        <v>270</v>
      </c>
      <c r="G6" s="53">
        <f>'DOE25'!K201+'DOE25'!K219+'DOE25'!K237</f>
        <v>0</v>
      </c>
      <c r="H6" s="258"/>
    </row>
    <row r="7" spans="1:9" x14ac:dyDescent="0.2">
      <c r="A7" s="32">
        <v>2200</v>
      </c>
      <c r="B7" t="s">
        <v>834</v>
      </c>
      <c r="C7" s="244">
        <f t="shared" si="0"/>
        <v>41225.600000000006</v>
      </c>
      <c r="D7" s="20">
        <f>'DOE25'!L202+'DOE25'!L220+'DOE25'!L238-F7-G7</f>
        <v>39663.300000000003</v>
      </c>
      <c r="E7" s="242"/>
      <c r="F7" s="254">
        <f>'DOE25'!J202+'DOE25'!J220+'DOE25'!J238</f>
        <v>495</v>
      </c>
      <c r="G7" s="53">
        <f>'DOE25'!K202+'DOE25'!K220+'DOE25'!K238</f>
        <v>1067.3</v>
      </c>
      <c r="H7" s="258"/>
    </row>
    <row r="8" spans="1:9" x14ac:dyDescent="0.2">
      <c r="A8" s="32">
        <v>2300</v>
      </c>
      <c r="B8" t="s">
        <v>802</v>
      </c>
      <c r="C8" s="244">
        <f t="shared" si="0"/>
        <v>185249.92874677107</v>
      </c>
      <c r="D8" s="242"/>
      <c r="E8" s="20">
        <f>'DOE25'!L203+'DOE25'!L221+'DOE25'!L239-F8-G8-D9-D11</f>
        <v>174388.29874677109</v>
      </c>
      <c r="F8" s="254">
        <f>'DOE25'!J203+'DOE25'!J221+'DOE25'!J239</f>
        <v>7852.33</v>
      </c>
      <c r="G8" s="53">
        <f>'DOE25'!K203+'DOE25'!K221+'DOE25'!K239</f>
        <v>3009.3</v>
      </c>
      <c r="H8" s="258"/>
    </row>
    <row r="9" spans="1:9" x14ac:dyDescent="0.2">
      <c r="A9" s="32">
        <v>2310</v>
      </c>
      <c r="B9" t="s">
        <v>818</v>
      </c>
      <c r="C9" s="244">
        <f t="shared" si="0"/>
        <v>3009.3</v>
      </c>
      <c r="D9" s="243">
        <v>3009.3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8500</v>
      </c>
      <c r="D10" s="242"/>
      <c r="E10" s="243">
        <v>8500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56590.761253228906</v>
      </c>
      <c r="D11" s="243">
        <v>56590.761253228906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156432.24</v>
      </c>
      <c r="D12" s="20">
        <f>'DOE25'!L204+'DOE25'!L222+'DOE25'!L240-F12-G12</f>
        <v>155646.34</v>
      </c>
      <c r="E12" s="242"/>
      <c r="F12" s="254">
        <f>'DOE25'!J204+'DOE25'!J222+'DOE25'!J240</f>
        <v>785.9</v>
      </c>
      <c r="G12" s="53">
        <f>'DOE25'!K204+'DOE25'!K222+'DOE25'!K240</f>
        <v>0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0</v>
      </c>
      <c r="D13" s="242"/>
      <c r="E13" s="20">
        <f>'DOE25'!L205+'DOE25'!L223+'DOE25'!L241-F13-G13</f>
        <v>0</v>
      </c>
      <c r="F13" s="254">
        <f>'DOE25'!J205+'DOE25'!J223+'DOE25'!J241</f>
        <v>0</v>
      </c>
      <c r="G13" s="53">
        <f>'DOE25'!K205+'DOE25'!K223+'DOE25'!K241</f>
        <v>0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215332.39</v>
      </c>
      <c r="D14" s="20">
        <f>'DOE25'!L206+'DOE25'!L224+'DOE25'!L242-F14-G14</f>
        <v>212889.54</v>
      </c>
      <c r="E14" s="242"/>
      <c r="F14" s="254">
        <f>'DOE25'!J206+'DOE25'!J224+'DOE25'!J242</f>
        <v>2442.85</v>
      </c>
      <c r="G14" s="53">
        <f>'DOE25'!K206+'DOE25'!K224+'DOE25'!K242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241837.96999999997</v>
      </c>
      <c r="D15" s="20">
        <f>'DOE25'!L207+'DOE25'!L225+'DOE25'!L243-F15-G15</f>
        <v>241837.96999999997</v>
      </c>
      <c r="E15" s="242"/>
      <c r="F15" s="254">
        <f>'DOE25'!J207+'DOE25'!J225+'DOE25'!J243</f>
        <v>0</v>
      </c>
      <c r="G15" s="53">
        <f>'DOE25'!K207+'DOE25'!K225+'DOE25'!K243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0</v>
      </c>
      <c r="D16" s="242"/>
      <c r="E16" s="20">
        <f>'DOE25'!L208+'DOE25'!L226+'DOE25'!L244-F16-G16</f>
        <v>0</v>
      </c>
      <c r="F16" s="254">
        <f>'DOE25'!J208+'DOE25'!J226+'DOE25'!J244</f>
        <v>0</v>
      </c>
      <c r="G16" s="53">
        <f>'DOE25'!K208+'DOE25'!K226+'DOE25'!K244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'DOE25'!L250-F17-G17</f>
        <v>0</v>
      </c>
      <c r="E17" s="242"/>
      <c r="F17" s="254">
        <f>'DOE25'!J250</f>
        <v>0</v>
      </c>
      <c r="G17" s="53">
        <f>'DOE25'!K250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'DOE25'!L251-F18-G18</f>
        <v>0</v>
      </c>
      <c r="E18" s="242"/>
      <c r="F18" s="254">
        <f>'DOE25'!J251</f>
        <v>0</v>
      </c>
      <c r="G18" s="53">
        <f>'DOE25'!K251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'DOE25'!L252-F19-G19</f>
        <v>0</v>
      </c>
      <c r="E19" s="242"/>
      <c r="F19" s="254">
        <f>'DOE25'!J252</f>
        <v>0</v>
      </c>
      <c r="G19" s="53">
        <f>'DOE25'!K252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0</v>
      </c>
      <c r="D22" s="242"/>
      <c r="E22" s="242"/>
      <c r="F22" s="254">
        <f>'DOE25'!L254+'DOE25'!L335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0</v>
      </c>
      <c r="D25" s="242"/>
      <c r="E25" s="242"/>
      <c r="F25" s="257"/>
      <c r="G25" s="255"/>
      <c r="H25" s="256">
        <f>'DOE25'!L259+'DOE25'!L260+'DOE25'!L340+'DOE25'!L341</f>
        <v>0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46477.82</v>
      </c>
      <c r="D29" s="20">
        <f>'DOE25'!L357+'DOE25'!L358+'DOE25'!L359-'DOE25'!I366-F29-G29</f>
        <v>46477.82</v>
      </c>
      <c r="E29" s="242"/>
      <c r="F29" s="254">
        <f>'DOE25'!J357+'DOE25'!J358+'DOE25'!J359</f>
        <v>0</v>
      </c>
      <c r="G29" s="53">
        <f>'DOE25'!K357+'DOE25'!K358+'DOE25'!K359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69675.33</v>
      </c>
      <c r="D31" s="20">
        <f>'DOE25'!L289+'DOE25'!L308+'DOE25'!L327+'DOE25'!L332+'DOE25'!L333+'DOE25'!L334-F31-G31</f>
        <v>65817.16</v>
      </c>
      <c r="E31" s="242"/>
      <c r="F31" s="254">
        <f>'DOE25'!J289+'DOE25'!J308+'DOE25'!J327+'DOE25'!J332+'DOE25'!J333+'DOE25'!J334</f>
        <v>3000</v>
      </c>
      <c r="G31" s="53">
        <f>'DOE25'!K289+'DOE25'!K308+'DOE25'!K327+'DOE25'!K332+'DOE25'!K333+'DOE25'!K334</f>
        <v>858.17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4588142.3812532285</v>
      </c>
      <c r="E33" s="245">
        <f>SUM(E5:E31)</f>
        <v>182888.29874677109</v>
      </c>
      <c r="F33" s="245">
        <f>SUM(F5:F31)</f>
        <v>58080.75</v>
      </c>
      <c r="G33" s="245">
        <f>SUM(G5:G31)</f>
        <v>4934.7700000000004</v>
      </c>
      <c r="H33" s="245">
        <f>SUM(H5:H31)</f>
        <v>0</v>
      </c>
    </row>
    <row r="35" spans="2:8" ht="12" thickBot="1" x14ac:dyDescent="0.25">
      <c r="B35" s="252" t="s">
        <v>847</v>
      </c>
      <c r="D35" s="253">
        <f>E33</f>
        <v>182888.29874677109</v>
      </c>
      <c r="E35" s="248"/>
    </row>
    <row r="36" spans="2:8" ht="12" thickTop="1" x14ac:dyDescent="0.2">
      <c r="B36" t="s">
        <v>815</v>
      </c>
      <c r="D36" s="20">
        <f>D33</f>
        <v>4588142.3812532285</v>
      </c>
    </row>
    <row r="38" spans="2:8" x14ac:dyDescent="0.2">
      <c r="B38" s="185" t="s">
        <v>859</v>
      </c>
      <c r="C38" s="265"/>
      <c r="D38" s="266"/>
    </row>
    <row r="39" spans="2:8" x14ac:dyDescent="0.2">
      <c r="B39" t="s">
        <v>824</v>
      </c>
      <c r="D39" s="179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5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Rollinsford</v>
      </c>
      <c r="B2" s="125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4"/>
      <c r="I2" s="124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3"/>
      <c r="I5" s="123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3"/>
      <c r="I6" s="123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20055.150000000001</v>
      </c>
      <c r="D8" s="94">
        <f>'DOE25'!G9</f>
        <v>55703.13</v>
      </c>
      <c r="E8" s="94">
        <f>'DOE25'!H9</f>
        <v>92148.67</v>
      </c>
      <c r="F8" s="94">
        <f>'DOE25'!I9</f>
        <v>0</v>
      </c>
      <c r="G8" s="94">
        <f>'DOE25'!J9</f>
        <v>0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10441.469999999999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78546.420000000013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115645.32</v>
      </c>
      <c r="D11" s="94">
        <f>'DOE25'!G12</f>
        <v>1004.08</v>
      </c>
      <c r="E11" s="94">
        <f>'DOE25'!H12</f>
        <v>0</v>
      </c>
      <c r="F11" s="94">
        <f>'DOE25'!I12</f>
        <v>0</v>
      </c>
      <c r="G11" s="94">
        <f>'DOE25'!J12</f>
        <v>0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65662.679999999993</v>
      </c>
      <c r="D12" s="94">
        <f>'DOE25'!G13</f>
        <v>6450.27</v>
      </c>
      <c r="E12" s="94">
        <f>'DOE25'!H13</f>
        <v>0</v>
      </c>
      <c r="F12" s="94">
        <f>'DOE25'!I13</f>
        <v>0</v>
      </c>
      <c r="G12" s="94">
        <f>'DOE25'!J13</f>
        <v>0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0</v>
      </c>
      <c r="D13" s="94">
        <f>'DOE25'!G14</f>
        <v>241.98</v>
      </c>
      <c r="E13" s="94">
        <f>'DOE25'!H14</f>
        <v>0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4">
        <f>'DOE25'!I15</f>
        <v>0</v>
      </c>
      <c r="G14" s="24" t="s">
        <v>289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0</v>
      </c>
      <c r="E15" s="94">
        <f>'DOE25'!H16</f>
        <v>0</v>
      </c>
      <c r="F15" s="94">
        <f>'DOE25'!I16</f>
        <v>0</v>
      </c>
      <c r="G15" s="24" t="s">
        <v>289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211804.62</v>
      </c>
      <c r="D18" s="41">
        <f>SUM(D8:D17)</f>
        <v>63399.46</v>
      </c>
      <c r="E18" s="41">
        <f>SUM(E8:E17)</f>
        <v>92148.67</v>
      </c>
      <c r="F18" s="41">
        <f>SUM(F8:F17)</f>
        <v>0</v>
      </c>
      <c r="G18" s="41">
        <f>SUM(G8:G17)</f>
        <v>78546.420000000013</v>
      </c>
      <c r="H18" s="123"/>
      <c r="I18" s="123"/>
    </row>
    <row r="19" spans="1:9" x14ac:dyDescent="0.2">
      <c r="A19" s="1" t="s">
        <v>303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0</v>
      </c>
      <c r="D21" s="94">
        <f>'DOE25'!G22</f>
        <v>60959.54</v>
      </c>
      <c r="E21" s="94">
        <f>'DOE25'!H22</f>
        <v>91940.349999999991</v>
      </c>
      <c r="F21" s="94">
        <f>'DOE25'!I22</f>
        <v>0</v>
      </c>
      <c r="G21" s="94">
        <f>'DOE25'!J22</f>
        <v>0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46988.2</v>
      </c>
      <c r="D23" s="94">
        <f>'DOE25'!G24</f>
        <v>0</v>
      </c>
      <c r="E23" s="94">
        <f>'DOE25'!H24</f>
        <v>208.32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0</v>
      </c>
      <c r="F24" s="94">
        <f>'DOE25'!I25</f>
        <v>0</v>
      </c>
      <c r="G24" s="24" t="s">
        <v>289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289</v>
      </c>
      <c r="E25" s="24" t="s">
        <v>289</v>
      </c>
      <c r="F25" s="94">
        <f>'DOE25'!I26</f>
        <v>0</v>
      </c>
      <c r="G25" s="24" t="s">
        <v>289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289</v>
      </c>
      <c r="E26" s="24" t="s">
        <v>289</v>
      </c>
      <c r="F26" s="94">
        <f>'DOE25'!I27</f>
        <v>0</v>
      </c>
      <c r="G26" s="24" t="s">
        <v>289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0</v>
      </c>
      <c r="D27" s="94">
        <f>'DOE25'!G28</f>
        <v>0</v>
      </c>
      <c r="E27" s="94">
        <f>'DOE25'!H28</f>
        <v>0</v>
      </c>
      <c r="F27" s="94">
        <f>'DOE25'!I28</f>
        <v>0</v>
      </c>
      <c r="G27" s="24" t="s">
        <v>289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0</v>
      </c>
      <c r="D28" s="94">
        <f>'DOE25'!G29</f>
        <v>0</v>
      </c>
      <c r="E28" s="94">
        <f>'DOE25'!H29</f>
        <v>0</v>
      </c>
      <c r="F28" s="94">
        <f>'DOE25'!I29</f>
        <v>0</v>
      </c>
      <c r="G28" s="24" t="s">
        <v>289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0</v>
      </c>
      <c r="E29" s="94">
        <f>'DOE25'!H30</f>
        <v>0</v>
      </c>
      <c r="F29" s="94">
        <f>'DOE25'!I30</f>
        <v>0</v>
      </c>
      <c r="G29" s="24" t="s">
        <v>289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46988.2</v>
      </c>
      <c r="D31" s="41">
        <f>SUM(D21:D30)</f>
        <v>60959.54</v>
      </c>
      <c r="E31" s="41">
        <f>SUM(E21:E30)</f>
        <v>92148.67</v>
      </c>
      <c r="F31" s="41">
        <f>SUM(F21:F30)</f>
        <v>0</v>
      </c>
      <c r="G31" s="41">
        <f>SUM(G21:G30)</f>
        <v>0</v>
      </c>
      <c r="H31" s="123"/>
      <c r="I31" s="123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3"/>
      <c r="I32" s="123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3"/>
      <c r="I33" s="123"/>
    </row>
    <row r="34" spans="1:9" x14ac:dyDescent="0.2">
      <c r="A34" s="1" t="s">
        <v>876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289</v>
      </c>
      <c r="H34" s="123"/>
      <c r="I34" s="123"/>
    </row>
    <row r="35" spans="1:9" x14ac:dyDescent="0.2">
      <c r="A35" s="1" t="s">
        <v>877</v>
      </c>
      <c r="B35" s="6">
        <v>752</v>
      </c>
      <c r="C35" s="94">
        <f>'DOE25'!F36</f>
        <v>0</v>
      </c>
      <c r="D35" s="94">
        <f>'DOE25'!G36</f>
        <v>2439.92</v>
      </c>
      <c r="E35" s="94">
        <f>'DOE25'!H36</f>
        <v>0</v>
      </c>
      <c r="F35" s="94">
        <f>'DOE25'!I36</f>
        <v>0</v>
      </c>
      <c r="G35" s="24" t="s">
        <v>289</v>
      </c>
      <c r="H35" s="123"/>
      <c r="I35" s="123"/>
    </row>
    <row r="36" spans="1:9" x14ac:dyDescent="0.2">
      <c r="A36" s="1" t="s">
        <v>883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3"/>
      <c r="I37" s="123"/>
    </row>
    <row r="38" spans="1:9" x14ac:dyDescent="0.2">
      <c r="A38" s="1" t="s">
        <v>884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888</v>
      </c>
      <c r="B39" s="6"/>
      <c r="C39" s="24" t="s">
        <v>289</v>
      </c>
      <c r="D39" s="94">
        <f>'DOE25'!G40</f>
        <v>0</v>
      </c>
      <c r="E39" s="24" t="s">
        <v>289</v>
      </c>
      <c r="F39" s="24" t="s">
        <v>289</v>
      </c>
      <c r="G39" s="24" t="s">
        <v>289</v>
      </c>
      <c r="H39" s="123"/>
      <c r="I39" s="123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4">
        <f>'DOE25'!I41</f>
        <v>0</v>
      </c>
      <c r="G40" s="24" t="s">
        <v>289</v>
      </c>
      <c r="H40" s="123"/>
      <c r="I40" s="123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3"/>
      <c r="I41" s="123"/>
    </row>
    <row r="42" spans="1:9" x14ac:dyDescent="0.2">
      <c r="A42" s="1" t="s">
        <v>889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890</v>
      </c>
      <c r="B43" s="6">
        <v>755</v>
      </c>
      <c r="C43" s="94">
        <f>'DOE25'!F44</f>
        <v>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289</v>
      </c>
      <c r="H43" s="123"/>
      <c r="I43" s="123"/>
    </row>
    <row r="44" spans="1:9" x14ac:dyDescent="0.2">
      <c r="A44" s="1" t="s">
        <v>891</v>
      </c>
      <c r="B44" s="6">
        <v>753</v>
      </c>
      <c r="C44" s="94">
        <f>'DOE25'!F45</f>
        <v>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3"/>
      <c r="I45" s="123"/>
    </row>
    <row r="46" spans="1:9" x14ac:dyDescent="0.2">
      <c r="A46" s="1" t="s">
        <v>892</v>
      </c>
      <c r="B46" s="6">
        <v>760</v>
      </c>
      <c r="C46" s="94">
        <f>'DOE25'!F47</f>
        <v>0</v>
      </c>
      <c r="D46" s="94">
        <f>'DOE25'!G47</f>
        <v>0</v>
      </c>
      <c r="E46" s="94">
        <f>'DOE25'!H47</f>
        <v>0</v>
      </c>
      <c r="F46" s="94">
        <f>'DOE25'!I47</f>
        <v>0</v>
      </c>
      <c r="G46" s="94">
        <f>'DOE25'!J47</f>
        <v>78546.420000000013</v>
      </c>
      <c r="H46" s="123"/>
      <c r="I46" s="123"/>
    </row>
    <row r="47" spans="1:9" x14ac:dyDescent="0.2">
      <c r="A47" s="1" t="s">
        <v>908</v>
      </c>
      <c r="B47" s="6">
        <v>753</v>
      </c>
      <c r="C47" s="94">
        <f>'DOE25'!F48</f>
        <v>0</v>
      </c>
      <c r="D47" s="94">
        <f>'DOE25'!G48</f>
        <v>0</v>
      </c>
      <c r="E47" s="94">
        <f>'DOE25'!H48</f>
        <v>0</v>
      </c>
      <c r="F47" s="94">
        <f>'DOE25'!I48</f>
        <v>0</v>
      </c>
      <c r="G47" s="94">
        <f>'DOE25'!J48</f>
        <v>0</v>
      </c>
      <c r="H47" s="123"/>
      <c r="I47" s="123"/>
    </row>
    <row r="48" spans="1:9" ht="12" thickBot="1" x14ac:dyDescent="0.25">
      <c r="A48" s="29" t="s">
        <v>893</v>
      </c>
      <c r="B48" s="70">
        <v>770</v>
      </c>
      <c r="C48" s="94">
        <f>'DOE25'!F49</f>
        <v>164816.41999999998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3"/>
      <c r="I48" s="123"/>
    </row>
    <row r="49" spans="1:9" ht="12.75" thickTop="1" thickBot="1" x14ac:dyDescent="0.25">
      <c r="A49" s="38" t="s">
        <v>894</v>
      </c>
      <c r="B49" s="48"/>
      <c r="C49" s="41">
        <f>SUM(C34:C48)</f>
        <v>164816.41999999998</v>
      </c>
      <c r="D49" s="41">
        <f>SUM(D34:D48)</f>
        <v>2439.92</v>
      </c>
      <c r="E49" s="41">
        <f>SUM(E34:E48)</f>
        <v>0</v>
      </c>
      <c r="F49" s="41">
        <f>SUM(F34:F48)</f>
        <v>0</v>
      </c>
      <c r="G49" s="41">
        <f>SUM(G34:G48)</f>
        <v>78546.420000000013</v>
      </c>
      <c r="H49" s="123"/>
      <c r="I49" s="123"/>
    </row>
    <row r="50" spans="1:9" ht="12" thickTop="1" x14ac:dyDescent="0.2">
      <c r="A50" s="38" t="s">
        <v>895</v>
      </c>
      <c r="B50" s="2"/>
      <c r="C50" s="41">
        <f>C49+C31</f>
        <v>211804.62</v>
      </c>
      <c r="D50" s="41">
        <f>D49+D31</f>
        <v>63399.46</v>
      </c>
      <c r="E50" s="41">
        <f>E49+E31</f>
        <v>92148.67</v>
      </c>
      <c r="F50" s="41">
        <f>F49+F31</f>
        <v>0</v>
      </c>
      <c r="G50" s="41">
        <f>G49+G31</f>
        <v>78546.420000000013</v>
      </c>
      <c r="H50" s="123"/>
      <c r="I50" s="123"/>
    </row>
    <row r="51" spans="1:9" x14ac:dyDescent="0.2">
      <c r="H51" s="123"/>
      <c r="I51" s="123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6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7" t="s">
        <v>161</v>
      </c>
      <c r="B54" s="126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4">
        <f>'DOE25'!F59</f>
        <v>3564654</v>
      </c>
      <c r="D55" s="94">
        <f>'DOE25'!G59</f>
        <v>0</v>
      </c>
      <c r="E55" s="94">
        <f>'DOE25'!H59</f>
        <v>0</v>
      </c>
      <c r="F55" s="94">
        <f>'DOE25'!I59</f>
        <v>0</v>
      </c>
      <c r="G55" s="94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4">
        <f>'DOE25'!F78</f>
        <v>0</v>
      </c>
      <c r="D56" s="24" t="s">
        <v>289</v>
      </c>
      <c r="E56" s="94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4">
        <f>'DOE25'!F93</f>
        <v>0</v>
      </c>
      <c r="D57" s="24" t="s">
        <v>289</v>
      </c>
      <c r="E57" s="94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8" t="s">
        <v>168</v>
      </c>
      <c r="B58" s="37" t="s">
        <v>169</v>
      </c>
      <c r="C58" s="94">
        <f>'DOE25'!F95</f>
        <v>239.15</v>
      </c>
      <c r="D58" s="94">
        <f>'DOE25'!G95</f>
        <v>0</v>
      </c>
      <c r="E58" s="94">
        <f>'DOE25'!H95</f>
        <v>0</v>
      </c>
      <c r="F58" s="94">
        <f>'DOE25'!I95</f>
        <v>0</v>
      </c>
      <c r="G58" s="94">
        <f>'DOE25'!J95</f>
        <v>48.36</v>
      </c>
      <c r="H58"/>
      <c r="I58"/>
    </row>
    <row r="59" spans="1:9" x14ac:dyDescent="0.2">
      <c r="A59" s="1" t="s">
        <v>170</v>
      </c>
      <c r="B59" s="117" t="s">
        <v>171</v>
      </c>
      <c r="C59" s="24" t="s">
        <v>289</v>
      </c>
      <c r="D59" s="94">
        <f>'DOE25'!G96</f>
        <v>19498.37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7" t="s">
        <v>173</v>
      </c>
      <c r="C60" s="94">
        <f>SUM('DOE25'!F97:F109)</f>
        <v>6373.87</v>
      </c>
      <c r="D60" s="94">
        <f>SUM('DOE25'!G97:G109)</f>
        <v>0</v>
      </c>
      <c r="E60" s="94">
        <f>SUM('DOE25'!H97:H109)</f>
        <v>0</v>
      </c>
      <c r="F60" s="94">
        <f>SUM('DOE25'!I97:I109)</f>
        <v>0</v>
      </c>
      <c r="G60" s="94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29">
        <f>SUM(C56:C60)</f>
        <v>6613.0199999999995</v>
      </c>
      <c r="D61" s="129">
        <f>SUM(D56:D60)</f>
        <v>19498.37</v>
      </c>
      <c r="E61" s="129">
        <f>SUM(E56:E60)</f>
        <v>0</v>
      </c>
      <c r="F61" s="129">
        <f>SUM(F56:F60)</f>
        <v>0</v>
      </c>
      <c r="G61" s="129">
        <f>SUM(G56:G60)</f>
        <v>48.36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3571267.02</v>
      </c>
      <c r="D62" s="22">
        <f>D55+D61</f>
        <v>19498.37</v>
      </c>
      <c r="E62" s="22">
        <f>E55+E61</f>
        <v>0</v>
      </c>
      <c r="F62" s="22">
        <f>F55+F61</f>
        <v>0</v>
      </c>
      <c r="G62" s="22">
        <f>G55+G61</f>
        <v>48.36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4">
        <f>'DOE25'!F116</f>
        <v>538592.34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4">
        <f>'DOE25'!F117</f>
        <v>642105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4">
        <f>'DOE25'!F118</f>
        <v>466.66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4">
        <f>'DOE25'!F119</f>
        <v>0</v>
      </c>
      <c r="D68" s="94">
        <f>'DOE25'!G119</f>
        <v>0</v>
      </c>
      <c r="E68" s="94">
        <f>'DOE25'!H119</f>
        <v>0</v>
      </c>
      <c r="F68" s="94">
        <f>'DOE25'!I119</f>
        <v>0</v>
      </c>
      <c r="G68" s="94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8">
        <f>SUM(C65:C68)</f>
        <v>1181163.9999999998</v>
      </c>
      <c r="D69" s="138">
        <f>D68</f>
        <v>0</v>
      </c>
      <c r="E69" s="138">
        <f>E68</f>
        <v>0</v>
      </c>
      <c r="F69" s="138">
        <f>F68</f>
        <v>0</v>
      </c>
      <c r="G69" s="138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4">
        <f>'DOE25'!F122</f>
        <v>0</v>
      </c>
      <c r="D71" s="24" t="s">
        <v>289</v>
      </c>
      <c r="E71" s="24" t="s">
        <v>289</v>
      </c>
      <c r="F71" s="94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4">
        <f>'DOE25'!F123</f>
        <v>0</v>
      </c>
      <c r="D72" s="24" t="s">
        <v>289</v>
      </c>
      <c r="E72" s="24" t="s">
        <v>289</v>
      </c>
      <c r="F72" s="94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4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4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4">
        <f>SUM('DOE25'!F126:F129)</f>
        <v>0</v>
      </c>
      <c r="D75" s="24" t="s">
        <v>289</v>
      </c>
      <c r="E75" s="94">
        <f>SUM('DOE25'!H126:H129)</f>
        <v>0</v>
      </c>
      <c r="F75" s="94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4">
        <f>SUM('DOE25'!F130:F134)</f>
        <v>0</v>
      </c>
      <c r="D76" s="94">
        <f>SUM('DOE25'!G130:G134)</f>
        <v>691.76</v>
      </c>
      <c r="E76" s="94">
        <f>SUM('DOE25'!H130:H134)</f>
        <v>0</v>
      </c>
      <c r="F76" s="94">
        <f>SUM('DOE25'!I130:I134)</f>
        <v>0</v>
      </c>
      <c r="G76" s="94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29">
        <f>SUM(C71:C76)</f>
        <v>0</v>
      </c>
      <c r="D77" s="129">
        <f>SUM(D71:D76)</f>
        <v>691.76</v>
      </c>
      <c r="E77" s="129">
        <f>SUM(E71:E76)</f>
        <v>0</v>
      </c>
      <c r="F77" s="129">
        <f>SUM(F71:F76)</f>
        <v>0</v>
      </c>
      <c r="G77" s="129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4">
        <f>'DOE25'!F136</f>
        <v>0</v>
      </c>
      <c r="D78" s="94">
        <f>'DOE25'!G136</f>
        <v>0</v>
      </c>
      <c r="E78" s="94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4">
        <f>'DOE25'!F137</f>
        <v>0</v>
      </c>
      <c r="D79" s="24" t="s">
        <v>289</v>
      </c>
      <c r="E79" s="94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29">
        <f>SUM(C78:C79)+C77+C69</f>
        <v>1181163.9999999998</v>
      </c>
      <c r="D80" s="129">
        <f>SUM(D78:D79)+D77+D69</f>
        <v>691.76</v>
      </c>
      <c r="E80" s="129">
        <f>SUM(E78:E79)+E77+E69</f>
        <v>0</v>
      </c>
      <c r="F80" s="129">
        <f>SUM(F78:F79)+F77+F69</f>
        <v>0</v>
      </c>
      <c r="G80" s="129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6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7" t="s">
        <v>181</v>
      </c>
      <c r="B83" s="126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4">
        <f>'DOE25'!F146</f>
        <v>0</v>
      </c>
      <c r="D84" s="94">
        <f>'DOE25'!G146</f>
        <v>0</v>
      </c>
      <c r="E84" s="94">
        <f>'DOE25'!H146</f>
        <v>0</v>
      </c>
      <c r="F84" s="94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4">
        <f>SUM('DOE25'!F148:F151)</f>
        <v>0</v>
      </c>
      <c r="D86" s="24" t="s">
        <v>289</v>
      </c>
      <c r="E86" s="94">
        <f>SUM('DOE25'!H148:H151)</f>
        <v>0</v>
      </c>
      <c r="F86" s="94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4">
        <f>SUM('DOE25'!F152:F160)</f>
        <v>18669.39</v>
      </c>
      <c r="D87" s="94">
        <f>SUM('DOE25'!G152:G160)</f>
        <v>18547.320000000003</v>
      </c>
      <c r="E87" s="94">
        <f>SUM('DOE25'!H152:H160)</f>
        <v>69675.33</v>
      </c>
      <c r="F87" s="94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4">
        <f>'DOE25'!F162+'DOE25'!F165+'DOE25'!F167</f>
        <v>0</v>
      </c>
      <c r="D88" s="94">
        <f>'DOE25'!G162+'DOE25'!G167</f>
        <v>0</v>
      </c>
      <c r="E88" s="94">
        <f>'DOE25'!H162+'DOE25'!H167</f>
        <v>0</v>
      </c>
      <c r="F88" s="94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4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0">
        <f>SUM(C84:C89)</f>
        <v>18669.39</v>
      </c>
      <c r="D90" s="130">
        <f>SUM(D84:D89)</f>
        <v>18547.320000000003</v>
      </c>
      <c r="E90" s="130">
        <f>SUM(E84:E89)</f>
        <v>69675.33</v>
      </c>
      <c r="F90" s="130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4">
        <f>SUM('DOE25'!F172:F174)</f>
        <v>0</v>
      </c>
      <c r="D92" s="24" t="s">
        <v>289</v>
      </c>
      <c r="E92" s="24" t="s">
        <v>289</v>
      </c>
      <c r="F92" s="94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4">
        <f>'DOE25'!F175</f>
        <v>0</v>
      </c>
      <c r="D93" s="24" t="s">
        <v>289</v>
      </c>
      <c r="E93" s="24" t="s">
        <v>289</v>
      </c>
      <c r="F93" s="94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4">
        <f>'DOE25'!G178</f>
        <v>12000</v>
      </c>
      <c r="E95" s="94">
        <f>'DOE25'!H178</f>
        <v>0</v>
      </c>
      <c r="F95" s="94">
        <f>'DOE25'!I178</f>
        <v>0</v>
      </c>
      <c r="G95" s="94">
        <f>'DOE25'!J178</f>
        <v>10000</v>
      </c>
    </row>
    <row r="96" spans="1:9" x14ac:dyDescent="0.2">
      <c r="A96" t="s">
        <v>758</v>
      </c>
      <c r="B96" s="32" t="s">
        <v>188</v>
      </c>
      <c r="C96" s="94">
        <f>SUM('DOE25'!F179:F180)</f>
        <v>0</v>
      </c>
      <c r="D96" s="94">
        <f>SUM('DOE25'!G179:G180)</f>
        <v>0</v>
      </c>
      <c r="E96" s="94">
        <f>SUM('DOE25'!H179:H180)</f>
        <v>0</v>
      </c>
      <c r="F96" s="94">
        <f>SUM('DOE25'!I179:I180)</f>
        <v>0</v>
      </c>
      <c r="G96" s="94">
        <f>SUM('DOE25'!J179:J180)</f>
        <v>0</v>
      </c>
    </row>
    <row r="97" spans="1:7" x14ac:dyDescent="0.2">
      <c r="A97" t="s">
        <v>759</v>
      </c>
      <c r="B97" s="32" t="s">
        <v>189</v>
      </c>
      <c r="C97" s="94">
        <f>'DOE25'!F181</f>
        <v>0</v>
      </c>
      <c r="D97" s="94">
        <f>'DOE25'!G181</f>
        <v>0</v>
      </c>
      <c r="E97" s="94">
        <f>'DOE25'!H181</f>
        <v>0</v>
      </c>
      <c r="F97" s="24" t="s">
        <v>289</v>
      </c>
      <c r="G97" s="94">
        <f>'DOE25'!J181</f>
        <v>0</v>
      </c>
    </row>
    <row r="98" spans="1:7" x14ac:dyDescent="0.2">
      <c r="A98" t="s">
        <v>760</v>
      </c>
      <c r="B98" s="32">
        <v>5251</v>
      </c>
      <c r="C98" s="94">
        <f>'DOE25'!F184</f>
        <v>0</v>
      </c>
      <c r="D98" s="94">
        <f>'DOE25'!G184</f>
        <v>0</v>
      </c>
      <c r="E98" s="94">
        <f>'DOE25'!H184</f>
        <v>0</v>
      </c>
      <c r="F98" s="94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4">
        <f>SUM('DOE25'!F185:F186)</f>
        <v>0</v>
      </c>
      <c r="D99" s="94">
        <f>SUM('DOE25'!G185:G186)</f>
        <v>0</v>
      </c>
      <c r="E99" s="94">
        <f>SUM('DOE25'!H185:H186)</f>
        <v>0</v>
      </c>
      <c r="F99" s="94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4">
        <f>'DOE25'!F188</f>
        <v>0</v>
      </c>
      <c r="D100" s="94">
        <f>'DOE25'!G188</f>
        <v>0</v>
      </c>
      <c r="E100" s="94">
        <f>'DOE25'!H188</f>
        <v>0</v>
      </c>
      <c r="F100" s="94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4">
        <f>SUM('DOE25'!F189:F190)</f>
        <v>0</v>
      </c>
      <c r="D101" s="94">
        <f>SUM('DOE25'!G189:G190)</f>
        <v>0</v>
      </c>
      <c r="E101" s="94">
        <f>SUM('DOE25'!H189:H190)</f>
        <v>0</v>
      </c>
      <c r="F101" s="94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5">
        <f>SUM(C92:C101)</f>
        <v>0</v>
      </c>
      <c r="D102" s="85">
        <f>SUM(D92:D101)</f>
        <v>12000</v>
      </c>
      <c r="E102" s="85">
        <f>SUM(E92:E101)</f>
        <v>0</v>
      </c>
      <c r="F102" s="85">
        <f>SUM(F92:F101)</f>
        <v>0</v>
      </c>
      <c r="G102" s="85">
        <f>SUM(G92:G101)</f>
        <v>10000</v>
      </c>
    </row>
    <row r="103" spans="1:7" ht="12.75" thickTop="1" thickBot="1" x14ac:dyDescent="0.25">
      <c r="A103" s="33" t="s">
        <v>765</v>
      </c>
      <c r="C103" s="85">
        <f>C62+C80+C90+C102</f>
        <v>4771100.4099999992</v>
      </c>
      <c r="D103" s="85">
        <f>D62+D80+D90+D102</f>
        <v>50737.45</v>
      </c>
      <c r="E103" s="85">
        <f>E62+E80+E90+E102</f>
        <v>69675.33</v>
      </c>
      <c r="F103" s="85">
        <f>F62+F80+F90+F102</f>
        <v>0</v>
      </c>
      <c r="G103" s="85">
        <f>G62+G80+G102</f>
        <v>10048.36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6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7" t="s">
        <v>195</v>
      </c>
      <c r="B107" s="126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4">
        <f>('DOE25'!L196)+('DOE25'!L214)+('DOE25'!L232)</f>
        <v>2829238.45</v>
      </c>
      <c r="D108" s="24" t="s">
        <v>289</v>
      </c>
      <c r="E108" s="94">
        <f>('DOE25'!L275)+('DOE25'!L294)+('DOE25'!L313)</f>
        <v>44406.18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4">
        <f>('DOE25'!L197)+('DOE25'!L215)+('DOE25'!L233)</f>
        <v>676051.75999999989</v>
      </c>
      <c r="D109" s="24" t="s">
        <v>289</v>
      </c>
      <c r="E109" s="94">
        <f>('DOE25'!L276)+('DOE25'!L295)+('DOE25'!L314)</f>
        <v>24410.98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4">
        <f>('DOE25'!L198)+('DOE25'!L216)+('DOE25'!L234)</f>
        <v>0</v>
      </c>
      <c r="D110" s="24" t="s">
        <v>289</v>
      </c>
      <c r="E110" s="94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4">
        <f>('DOE25'!L199)+('DOE25'!L217)+('DOE25'!L235)</f>
        <v>2569.3200000000002</v>
      </c>
      <c r="D111" s="24" t="s">
        <v>289</v>
      </c>
      <c r="E111" s="94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4">
        <f>'DOE25'!L249</f>
        <v>0</v>
      </c>
      <c r="D112" s="24" t="s">
        <v>289</v>
      </c>
      <c r="E112" s="94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4">
        <f>SUM('DOE25'!L250:L252)</f>
        <v>0</v>
      </c>
      <c r="D113" s="24" t="s">
        <v>289</v>
      </c>
      <c r="E113" s="94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5">
        <f>SUM(C108:C113)</f>
        <v>3507859.53</v>
      </c>
      <c r="D114" s="85">
        <f>SUM(D108:D113)</f>
        <v>0</v>
      </c>
      <c r="E114" s="85">
        <f>SUM(E108:E113)</f>
        <v>68817.16</v>
      </c>
      <c r="F114" s="85">
        <f>SUM(F108:F113)</f>
        <v>0</v>
      </c>
      <c r="G114" s="85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4">
        <f>('DOE25'!L201)+('DOE25'!L219)+('DOE25'!L237)</f>
        <v>301855.33</v>
      </c>
      <c r="D117" s="24" t="s">
        <v>289</v>
      </c>
      <c r="E117" s="94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4">
        <f>('DOE25'!L202)+('DOE25'!L220)+('DOE25'!L238)</f>
        <v>41225.600000000006</v>
      </c>
      <c r="D118" s="24" t="s">
        <v>289</v>
      </c>
      <c r="E118" s="94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4">
        <f>('DOE25'!L203)+('DOE25'!L221)+('DOE25'!L239)</f>
        <v>244849.98999999996</v>
      </c>
      <c r="D119" s="24" t="s">
        <v>289</v>
      </c>
      <c r="E119" s="94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4">
        <f>('DOE25'!L204)+('DOE25'!L222)+('DOE25'!L240)</f>
        <v>156432.24</v>
      </c>
      <c r="D120" s="24" t="s">
        <v>289</v>
      </c>
      <c r="E120" s="94">
        <f>+('DOE25'!L283)+('DOE25'!L302)+('DOE25'!L321)</f>
        <v>858.17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4">
        <f>('DOE25'!L205)+('DOE25'!L223)+('DOE25'!L241)</f>
        <v>0</v>
      </c>
      <c r="D121" s="24" t="s">
        <v>289</v>
      </c>
      <c r="E121" s="94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4">
        <f>('DOE25'!L206)+('DOE25'!L224)+('DOE25'!L242)</f>
        <v>215332.39</v>
      </c>
      <c r="D122" s="24" t="s">
        <v>289</v>
      </c>
      <c r="E122" s="94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4">
        <f>('DOE25'!L207)+('DOE25'!L225)+('DOE25'!L243+'DOE25'!L253)</f>
        <v>241837.96999999997</v>
      </c>
      <c r="D123" s="24" t="s">
        <v>289</v>
      </c>
      <c r="E123" s="94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4">
        <f>('DOE25'!L208)+('DOE25'!L226)+('DOE25'!L244)</f>
        <v>0</v>
      </c>
      <c r="D124" s="24" t="s">
        <v>289</v>
      </c>
      <c r="E124" s="94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4">
        <f>('DOE25'!L357)+('DOE25'!L358)+('DOE25'!L359)</f>
        <v>46477.82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5">
        <f>SUM(C117:C126)</f>
        <v>1201533.52</v>
      </c>
      <c r="D127" s="85">
        <f>SUM(D117:D126)</f>
        <v>46477.82</v>
      </c>
      <c r="E127" s="85">
        <f>SUM(E117:E126)</f>
        <v>858.17</v>
      </c>
      <c r="F127" s="85">
        <f>SUM(F117:F126)</f>
        <v>0</v>
      </c>
      <c r="G127" s="85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4">
        <f>'DOE25'!L254</f>
        <v>0</v>
      </c>
      <c r="D129" s="24" t="s">
        <v>289</v>
      </c>
      <c r="E129" s="128">
        <f>'DOE25'!L335</f>
        <v>0</v>
      </c>
      <c r="F129" s="128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4">
        <f>'DOE25'!L259</f>
        <v>0</v>
      </c>
      <c r="D130" s="24" t="s">
        <v>289</v>
      </c>
      <c r="E130" s="128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4">
        <f>'DOE25'!L260</f>
        <v>0</v>
      </c>
      <c r="D131" s="24" t="s">
        <v>289</v>
      </c>
      <c r="E131" s="128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4">
        <f>'DOE25'!K360</f>
        <v>0</v>
      </c>
      <c r="E133" s="94">
        <f>'DOE25'!L343</f>
        <v>0</v>
      </c>
      <c r="F133" s="94">
        <f>'DOE25'!K380</f>
        <v>0</v>
      </c>
      <c r="G133" s="94">
        <f>'DOE25'!K433</f>
        <v>61222.61</v>
      </c>
    </row>
    <row r="134" spans="1:7" x14ac:dyDescent="0.2">
      <c r="A134" t="s">
        <v>233</v>
      </c>
      <c r="B134" s="32" t="s">
        <v>234</v>
      </c>
      <c r="C134" s="94">
        <f>'DOE25'!L262</f>
        <v>12000</v>
      </c>
      <c r="D134" s="24" t="s">
        <v>289</v>
      </c>
      <c r="E134" s="128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4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4">
        <f>'DOE25'!L264</f>
        <v>0</v>
      </c>
      <c r="D136" s="24" t="s">
        <v>289</v>
      </c>
      <c r="E136" s="128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4">
        <f>'DOE25'!L392</f>
        <v>10048.36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4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4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4">
        <f>('DOE25'!L265+'DOE25'!K346) - (C137+C138+C139)</f>
        <v>-48.360000000000582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8">
        <f>'DOE25'!L267</f>
        <v>0</v>
      </c>
      <c r="D141" s="24" t="s">
        <v>289</v>
      </c>
      <c r="E141" s="128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8">
        <f>'DOE25'!L268</f>
        <v>0</v>
      </c>
      <c r="D142" s="24" t="s">
        <v>289</v>
      </c>
      <c r="E142" s="128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0">
        <f>SUM(C129:C142)</f>
        <v>22000</v>
      </c>
      <c r="D143" s="140">
        <f>SUM(D129:D142)</f>
        <v>0</v>
      </c>
      <c r="E143" s="140">
        <f>SUM(E129:E142)</f>
        <v>0</v>
      </c>
      <c r="F143" s="140">
        <f>SUM(F129:F142)</f>
        <v>0</v>
      </c>
      <c r="G143" s="140">
        <f>SUM(G129:G142)</f>
        <v>61222.61</v>
      </c>
    </row>
    <row r="144" spans="1:7" ht="12.75" thickTop="1" thickBot="1" x14ac:dyDescent="0.25">
      <c r="A144" s="33" t="s">
        <v>244</v>
      </c>
      <c r="C144" s="85">
        <f>(C114+C127+C143)</f>
        <v>4731393.05</v>
      </c>
      <c r="D144" s="85">
        <f>(D114+D127+D143)</f>
        <v>46477.82</v>
      </c>
      <c r="E144" s="85">
        <f>(E114+E127+E143)</f>
        <v>69675.33</v>
      </c>
      <c r="F144" s="85">
        <f>(F114+F127+F143)</f>
        <v>0</v>
      </c>
      <c r="G144" s="85">
        <f>(G114+G127+G143)</f>
        <v>61222.61</v>
      </c>
    </row>
    <row r="145" spans="1:9" ht="12" thickTop="1" x14ac:dyDescent="0.2">
      <c r="A145" s="33"/>
    </row>
    <row r="147" spans="1:9" x14ac:dyDescent="0.2">
      <c r="A147" s="134" t="s">
        <v>245</v>
      </c>
      <c r="B147" s="131"/>
      <c r="C147" s="114"/>
      <c r="D147" s="115"/>
      <c r="E147" s="115"/>
      <c r="F147" s="115"/>
      <c r="G147" s="115"/>
    </row>
    <row r="148" spans="1:9" x14ac:dyDescent="0.2">
      <c r="A148" s="135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5"/>
      <c r="I148" s="115"/>
    </row>
    <row r="149" spans="1:9" x14ac:dyDescent="0.2">
      <c r="A149" s="134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5" t="s">
        <v>27</v>
      </c>
      <c r="B150" s="151">
        <f>'DOE25'!F489</f>
        <v>0</v>
      </c>
      <c r="C150" s="151">
        <f>'DOE25'!G489</f>
        <v>0</v>
      </c>
      <c r="D150" s="151">
        <f>'DOE25'!H489</f>
        <v>0</v>
      </c>
      <c r="E150" s="151">
        <f>'DOE25'!I489</f>
        <v>0</v>
      </c>
      <c r="F150" s="151">
        <f>'DOE25'!J489</f>
        <v>0</v>
      </c>
      <c r="G150" s="24" t="s">
        <v>289</v>
      </c>
    </row>
    <row r="151" spans="1:9" x14ac:dyDescent="0.2">
      <c r="A151" s="135" t="s">
        <v>28</v>
      </c>
      <c r="B151" s="150" t="str">
        <f>'DOE25'!F490</f>
        <v>0</v>
      </c>
      <c r="C151" s="150" t="str">
        <f>'DOE25'!G490</f>
        <v>0</v>
      </c>
      <c r="D151" s="150" t="str">
        <f>'DOE25'!H490</f>
        <v>0</v>
      </c>
      <c r="E151" s="150" t="str">
        <f>'DOE25'!I490</f>
        <v>0</v>
      </c>
      <c r="F151" s="150" t="str">
        <f>'DOE25'!J490</f>
        <v>0</v>
      </c>
      <c r="G151" s="24" t="s">
        <v>289</v>
      </c>
    </row>
    <row r="152" spans="1:9" x14ac:dyDescent="0.2">
      <c r="A152" s="135" t="s">
        <v>29</v>
      </c>
      <c r="B152" s="150" t="str">
        <f>'DOE25'!F491</f>
        <v>0</v>
      </c>
      <c r="C152" s="150" t="str">
        <f>'DOE25'!G491</f>
        <v>0</v>
      </c>
      <c r="D152" s="150" t="str">
        <f>'DOE25'!H491</f>
        <v>0</v>
      </c>
      <c r="E152" s="150" t="str">
        <f>'DOE25'!I491</f>
        <v>0</v>
      </c>
      <c r="F152" s="150" t="str">
        <f>'DOE25'!J491</f>
        <v>0</v>
      </c>
      <c r="G152" s="24" t="s">
        <v>289</v>
      </c>
    </row>
    <row r="153" spans="1:9" x14ac:dyDescent="0.2">
      <c r="A153" s="135" t="s">
        <v>30</v>
      </c>
      <c r="B153" s="136">
        <f>'DOE25'!F492</f>
        <v>0</v>
      </c>
      <c r="C153" s="136">
        <f>'DOE25'!G492</f>
        <v>0</v>
      </c>
      <c r="D153" s="136">
        <f>'DOE25'!H492</f>
        <v>0</v>
      </c>
      <c r="E153" s="136">
        <f>'DOE25'!I492</f>
        <v>0</v>
      </c>
      <c r="F153" s="136">
        <f>'DOE25'!J492</f>
        <v>0</v>
      </c>
      <c r="G153" s="24" t="s">
        <v>289</v>
      </c>
    </row>
    <row r="154" spans="1:9" x14ac:dyDescent="0.2">
      <c r="A154" s="135" t="s">
        <v>31</v>
      </c>
      <c r="B154" s="136">
        <f>'DOE25'!F493</f>
        <v>0</v>
      </c>
      <c r="C154" s="136">
        <f>'DOE25'!G493</f>
        <v>0</v>
      </c>
      <c r="D154" s="136">
        <f>'DOE25'!H493</f>
        <v>0</v>
      </c>
      <c r="E154" s="136">
        <f>'DOE25'!I493</f>
        <v>0</v>
      </c>
      <c r="F154" s="136">
        <f>'DOE25'!J493</f>
        <v>0</v>
      </c>
      <c r="G154" s="24" t="s">
        <v>289</v>
      </c>
    </row>
    <row r="155" spans="1:9" x14ac:dyDescent="0.2">
      <c r="A155" s="22" t="s">
        <v>32</v>
      </c>
      <c r="B155" s="136">
        <f>'DOE25'!F494</f>
        <v>0</v>
      </c>
      <c r="C155" s="136">
        <f>'DOE25'!G494</f>
        <v>0</v>
      </c>
      <c r="D155" s="136">
        <f>'DOE25'!H494</f>
        <v>0</v>
      </c>
      <c r="E155" s="136">
        <f>'DOE25'!I494</f>
        <v>0</v>
      </c>
      <c r="F155" s="136">
        <f>'DOE25'!J494</f>
        <v>0</v>
      </c>
      <c r="G155" s="137">
        <f>SUM(B155:F155)</f>
        <v>0</v>
      </c>
    </row>
    <row r="156" spans="1:9" x14ac:dyDescent="0.2">
      <c r="A156" s="22" t="s">
        <v>33</v>
      </c>
      <c r="B156" s="136">
        <f>'DOE25'!F495</f>
        <v>0</v>
      </c>
      <c r="C156" s="136">
        <f>'DOE25'!G495</f>
        <v>0</v>
      </c>
      <c r="D156" s="136">
        <f>'DOE25'!H495</f>
        <v>0</v>
      </c>
      <c r="E156" s="136">
        <f>'DOE25'!I495</f>
        <v>0</v>
      </c>
      <c r="F156" s="136">
        <f>'DOE25'!J495</f>
        <v>0</v>
      </c>
      <c r="G156" s="137">
        <f t="shared" ref="G156:G163" si="0">SUM(B156:F156)</f>
        <v>0</v>
      </c>
    </row>
    <row r="157" spans="1:9" x14ac:dyDescent="0.2">
      <c r="A157" s="22" t="s">
        <v>34</v>
      </c>
      <c r="B157" s="136">
        <f>'DOE25'!F496</f>
        <v>0</v>
      </c>
      <c r="C157" s="136">
        <f>'DOE25'!G496</f>
        <v>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si="0"/>
        <v>0</v>
      </c>
    </row>
    <row r="158" spans="1:9" x14ac:dyDescent="0.2">
      <c r="A158" s="22" t="s">
        <v>35</v>
      </c>
      <c r="B158" s="136">
        <f>'DOE25'!F497</f>
        <v>0</v>
      </c>
      <c r="C158" s="136">
        <f>'DOE25'!G497</f>
        <v>0</v>
      </c>
      <c r="D158" s="136">
        <f>'DOE25'!H497</f>
        <v>0</v>
      </c>
      <c r="E158" s="136">
        <f>'DOE25'!I497</f>
        <v>0</v>
      </c>
      <c r="F158" s="136">
        <f>'DOE25'!J497</f>
        <v>0</v>
      </c>
      <c r="G158" s="137">
        <f t="shared" si="0"/>
        <v>0</v>
      </c>
    </row>
    <row r="159" spans="1:9" x14ac:dyDescent="0.2">
      <c r="A159" s="22" t="s">
        <v>36</v>
      </c>
      <c r="B159" s="136">
        <f>'DOE25'!F498</f>
        <v>0</v>
      </c>
      <c r="C159" s="136">
        <f>'DOE25'!G498</f>
        <v>0</v>
      </c>
      <c r="D159" s="136">
        <f>'DOE25'!H498</f>
        <v>0</v>
      </c>
      <c r="E159" s="136">
        <f>'DOE25'!I498</f>
        <v>0</v>
      </c>
      <c r="F159" s="136">
        <f>'DOE25'!J498</f>
        <v>0</v>
      </c>
      <c r="G159" s="137">
        <f t="shared" si="0"/>
        <v>0</v>
      </c>
    </row>
    <row r="160" spans="1:9" x14ac:dyDescent="0.2">
      <c r="A160" s="22" t="s">
        <v>37</v>
      </c>
      <c r="B160" s="136">
        <f>'DOE25'!F499</f>
        <v>0</v>
      </c>
      <c r="C160" s="136">
        <f>'DOE25'!G499</f>
        <v>0</v>
      </c>
      <c r="D160" s="136">
        <f>'DOE25'!H499</f>
        <v>0</v>
      </c>
      <c r="E160" s="136">
        <f>'DOE25'!I499</f>
        <v>0</v>
      </c>
      <c r="F160" s="136">
        <f>'DOE25'!J499</f>
        <v>0</v>
      </c>
      <c r="G160" s="137">
        <f t="shared" si="0"/>
        <v>0</v>
      </c>
    </row>
    <row r="161" spans="1:7" x14ac:dyDescent="0.2">
      <c r="A161" s="22" t="s">
        <v>38</v>
      </c>
      <c r="B161" s="136">
        <f>'DOE25'!F500</f>
        <v>0</v>
      </c>
      <c r="C161" s="136">
        <f>'DOE25'!G500</f>
        <v>0</v>
      </c>
      <c r="D161" s="136">
        <f>'DOE25'!H500</f>
        <v>0</v>
      </c>
      <c r="E161" s="136">
        <f>'DOE25'!I500</f>
        <v>0</v>
      </c>
      <c r="F161" s="136">
        <f>'DOE25'!J500</f>
        <v>0</v>
      </c>
      <c r="G161" s="137">
        <f t="shared" si="0"/>
        <v>0</v>
      </c>
    </row>
    <row r="162" spans="1:7" x14ac:dyDescent="0.2">
      <c r="A162" s="22" t="s">
        <v>39</v>
      </c>
      <c r="B162" s="136">
        <f>'DOE25'!F501</f>
        <v>0</v>
      </c>
      <c r="C162" s="136">
        <f>'DOE25'!G501</f>
        <v>0</v>
      </c>
      <c r="D162" s="136">
        <f>'DOE25'!H501</f>
        <v>0</v>
      </c>
      <c r="E162" s="136">
        <f>'DOE25'!I501</f>
        <v>0</v>
      </c>
      <c r="F162" s="136">
        <f>'DOE25'!J501</f>
        <v>0</v>
      </c>
      <c r="G162" s="137">
        <f t="shared" si="0"/>
        <v>0</v>
      </c>
    </row>
    <row r="163" spans="1:7" x14ac:dyDescent="0.2">
      <c r="A163" s="22" t="s">
        <v>246</v>
      </c>
      <c r="B163" s="136">
        <f>'DOE25'!F502</f>
        <v>0</v>
      </c>
      <c r="C163" s="136">
        <f>'DOE25'!G502</f>
        <v>0</v>
      </c>
      <c r="D163" s="136">
        <f>'DOE25'!H502</f>
        <v>0</v>
      </c>
      <c r="E163" s="136">
        <f>'DOE25'!I502</f>
        <v>0</v>
      </c>
      <c r="F163" s="136">
        <f>'DOE25'!J502</f>
        <v>0</v>
      </c>
      <c r="G163" s="137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0" workbookViewId="0">
      <selection activeCell="H37" sqref="H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7" t="s">
        <v>740</v>
      </c>
      <c r="B1" s="277"/>
      <c r="C1" s="277"/>
      <c r="D1" s="277"/>
    </row>
    <row r="2" spans="1:4" x14ac:dyDescent="0.2">
      <c r="A2" s="185" t="s">
        <v>717</v>
      </c>
      <c r="B2" s="184" t="str">
        <f>'DOE25'!A2</f>
        <v>Rollinsford</v>
      </c>
    </row>
    <row r="3" spans="1:4" x14ac:dyDescent="0.2">
      <c r="B3" s="186" t="s">
        <v>862</v>
      </c>
    </row>
    <row r="4" spans="1:4" x14ac:dyDescent="0.2">
      <c r="B4" t="s">
        <v>61</v>
      </c>
      <c r="C4" s="177">
        <f>IF('DOE25'!F664+'DOE25'!F669=0,0,ROUND('DOE25'!F671,0))</f>
        <v>15428</v>
      </c>
    </row>
    <row r="5" spans="1:4" x14ac:dyDescent="0.2">
      <c r="B5" t="s">
        <v>704</v>
      </c>
      <c r="C5" s="177">
        <f>IF('DOE25'!G664+'DOE25'!G669=0,0,ROUND('DOE25'!G671,0))</f>
        <v>0</v>
      </c>
    </row>
    <row r="6" spans="1:4" x14ac:dyDescent="0.2">
      <c r="B6" t="s">
        <v>62</v>
      </c>
      <c r="C6" s="177">
        <f>IF('DOE25'!H664+'DOE25'!H669=0,0,ROUND('DOE25'!H671,0))</f>
        <v>0</v>
      </c>
    </row>
    <row r="7" spans="1:4" x14ac:dyDescent="0.2">
      <c r="B7" t="s">
        <v>705</v>
      </c>
      <c r="C7" s="177">
        <f>IF('DOE25'!I664+'DOE25'!I669=0,0,ROUND('DOE25'!I671,0))</f>
        <v>15428</v>
      </c>
    </row>
    <row r="9" spans="1:4" x14ac:dyDescent="0.2">
      <c r="A9" s="185" t="s">
        <v>94</v>
      </c>
      <c r="B9" s="186" t="s">
        <v>861</v>
      </c>
      <c r="C9" s="179" t="s">
        <v>724</v>
      </c>
      <c r="D9" s="179" t="s">
        <v>725</v>
      </c>
    </row>
    <row r="10" spans="1:4" x14ac:dyDescent="0.2">
      <c r="A10">
        <v>1100</v>
      </c>
      <c r="B10" t="s">
        <v>706</v>
      </c>
      <c r="C10" s="177">
        <f>ROUND('DOE25'!L196+'DOE25'!L214+'DOE25'!L232+'DOE25'!L275+'DOE25'!L294+'DOE25'!L313,0)</f>
        <v>2873645</v>
      </c>
      <c r="D10" s="180">
        <f>ROUND((C10/$C$28)*100,1)</f>
        <v>59.8</v>
      </c>
    </row>
    <row r="11" spans="1:4" x14ac:dyDescent="0.2">
      <c r="A11">
        <v>1200</v>
      </c>
      <c r="B11" t="s">
        <v>707</v>
      </c>
      <c r="C11" s="177">
        <f>ROUND('DOE25'!L197+'DOE25'!L215+'DOE25'!L233+'DOE25'!L276+'DOE25'!L295+'DOE25'!L314,0)</f>
        <v>700463</v>
      </c>
      <c r="D11" s="180">
        <f>ROUND((C11/$C$28)*100,1)</f>
        <v>14.6</v>
      </c>
    </row>
    <row r="12" spans="1:4" x14ac:dyDescent="0.2">
      <c r="A12">
        <v>1300</v>
      </c>
      <c r="B12" t="s">
        <v>708</v>
      </c>
      <c r="C12" s="177">
        <f>ROUND('DOE25'!L198+'DOE25'!L216+'DOE25'!L234+'DOE25'!L277+'DOE25'!L296+'DOE25'!L315,0)</f>
        <v>0</v>
      </c>
      <c r="D12" s="180">
        <f>ROUND((C12/$C$28)*100,1)</f>
        <v>0</v>
      </c>
    </row>
    <row r="13" spans="1:4" x14ac:dyDescent="0.2">
      <c r="A13">
        <v>1400</v>
      </c>
      <c r="B13" t="s">
        <v>709</v>
      </c>
      <c r="C13" s="177">
        <f>ROUND('DOE25'!L199+'DOE25'!L217+'DOE25'!L235+'DOE25'!L278+'DOE25'!L297+'DOE25'!L316,0)</f>
        <v>2569</v>
      </c>
      <c r="D13" s="180">
        <f>ROUND((C13/$C$28)*100,1)</f>
        <v>0.1</v>
      </c>
    </row>
    <row r="14" spans="1:4" x14ac:dyDescent="0.2">
      <c r="D14" s="180"/>
    </row>
    <row r="15" spans="1:4" x14ac:dyDescent="0.2">
      <c r="A15">
        <v>2100</v>
      </c>
      <c r="B15" t="s">
        <v>710</v>
      </c>
      <c r="C15" s="177">
        <f>ROUND('DOE25'!L201+'DOE25'!L219+'DOE25'!L237+'DOE25'!L280+'DOE25'!L299+'DOE25'!L318,0)</f>
        <v>301855</v>
      </c>
      <c r="D15" s="180">
        <f t="shared" ref="D15:D27" si="0">ROUND((C15/$C$28)*100,1)</f>
        <v>6.3</v>
      </c>
    </row>
    <row r="16" spans="1:4" x14ac:dyDescent="0.2">
      <c r="A16">
        <v>2200</v>
      </c>
      <c r="B16" t="s">
        <v>711</v>
      </c>
      <c r="C16" s="177">
        <f>ROUND('DOE25'!L202+'DOE25'!L220+'DOE25'!L238+'DOE25'!L281+'DOE25'!L300+'DOE25'!L319,0)</f>
        <v>41226</v>
      </c>
      <c r="D16" s="180">
        <f t="shared" si="0"/>
        <v>0.9</v>
      </c>
    </row>
    <row r="17" spans="1:4" x14ac:dyDescent="0.2">
      <c r="A17" s="181" t="s">
        <v>727</v>
      </c>
      <c r="B17" t="s">
        <v>742</v>
      </c>
      <c r="C17" s="177">
        <f>ROUND('DOE25'!L203+'DOE25'!L208+'DOE25'!L221+'DOE25'!L226+'DOE25'!L239+'DOE25'!L244+'DOE25'!L282+'DOE25'!L287+'DOE25'!L301+'DOE25'!L306+'DOE25'!L320+'DOE25'!L325,0)</f>
        <v>244850</v>
      </c>
      <c r="D17" s="180">
        <f t="shared" si="0"/>
        <v>5.0999999999999996</v>
      </c>
    </row>
    <row r="18" spans="1:4" x14ac:dyDescent="0.2">
      <c r="A18">
        <v>2400</v>
      </c>
      <c r="B18" t="s">
        <v>715</v>
      </c>
      <c r="C18" s="177">
        <f>ROUND('DOE25'!L204+'DOE25'!L222+'DOE25'!L240+'DOE25'!L283+'DOE25'!L302+'DOE25'!L321,0)</f>
        <v>157290</v>
      </c>
      <c r="D18" s="180">
        <f t="shared" si="0"/>
        <v>3.3</v>
      </c>
    </row>
    <row r="19" spans="1:4" x14ac:dyDescent="0.2">
      <c r="A19">
        <v>2500</v>
      </c>
      <c r="B19" t="s">
        <v>712</v>
      </c>
      <c r="C19" s="177">
        <f>ROUND('DOE25'!L205+'DOE25'!L223+'DOE25'!L241+'DOE25'!L284+'DOE25'!L303+'DOE25'!L322,0)</f>
        <v>0</v>
      </c>
      <c r="D19" s="180">
        <f t="shared" si="0"/>
        <v>0</v>
      </c>
    </row>
    <row r="20" spans="1:4" x14ac:dyDescent="0.2">
      <c r="A20">
        <v>2600</v>
      </c>
      <c r="B20" t="s">
        <v>713</v>
      </c>
      <c r="C20" s="177">
        <f>ROUND('DOE25'!L206+'DOE25'!L224+'DOE25'!L242+'DOE25'!L285+'DOE25'!L304+'DOE25'!L323,0)</f>
        <v>215332</v>
      </c>
      <c r="D20" s="180">
        <f t="shared" si="0"/>
        <v>4.5</v>
      </c>
    </row>
    <row r="21" spans="1:4" x14ac:dyDescent="0.2">
      <c r="A21">
        <v>2700</v>
      </c>
      <c r="B21" t="s">
        <v>714</v>
      </c>
      <c r="C21" s="177">
        <f>ROUND('DOE25'!L207+'DOE25'!L225+'DOE25'!L243+'DOE25'!L286+'DOE25'!L305+'DOE25'!L324,0)</f>
        <v>241838</v>
      </c>
      <c r="D21" s="180">
        <f t="shared" si="0"/>
        <v>5</v>
      </c>
    </row>
    <row r="22" spans="1:4" x14ac:dyDescent="0.2">
      <c r="A22">
        <v>2900</v>
      </c>
      <c r="B22" t="s">
        <v>716</v>
      </c>
      <c r="C22" s="177">
        <v>0</v>
      </c>
      <c r="D22" s="180">
        <f t="shared" si="0"/>
        <v>0</v>
      </c>
    </row>
    <row r="23" spans="1:4" x14ac:dyDescent="0.2">
      <c r="A23">
        <v>1500</v>
      </c>
      <c r="B23" t="s">
        <v>718</v>
      </c>
      <c r="C23" s="177">
        <f>ROUND('DOE25'!L249+'DOE25'!L331,0)</f>
        <v>0</v>
      </c>
      <c r="D23" s="180">
        <f t="shared" si="0"/>
        <v>0</v>
      </c>
    </row>
    <row r="24" spans="1:4" x14ac:dyDescent="0.2">
      <c r="A24" s="181" t="s">
        <v>726</v>
      </c>
      <c r="B24" t="s">
        <v>719</v>
      </c>
      <c r="C24" s="177">
        <f>ROUND('DOE25'!L250+'DOE25'!L251+'DOE25'!L252+'DOE25'!L253+'DOE25'!L332+'DOE25'!L333+'DOE25'!L334,0)</f>
        <v>0</v>
      </c>
      <c r="D24" s="180">
        <f t="shared" si="0"/>
        <v>0</v>
      </c>
    </row>
    <row r="25" spans="1:4" x14ac:dyDescent="0.2">
      <c r="A25">
        <v>5120</v>
      </c>
      <c r="B25" t="s">
        <v>720</v>
      </c>
      <c r="C25" s="177">
        <f>ROUND('DOE25'!L260+'DOE25'!L341,0)</f>
        <v>0</v>
      </c>
      <c r="D25" s="180">
        <f t="shared" si="0"/>
        <v>0</v>
      </c>
    </row>
    <row r="26" spans="1:4" x14ac:dyDescent="0.2">
      <c r="A26" s="181" t="s">
        <v>721</v>
      </c>
      <c r="B26" t="s">
        <v>722</v>
      </c>
      <c r="C26" s="177">
        <f>'DOE25'!L267+'DOE25'!L268+'DOE25'!L348+'DOE25'!L349</f>
        <v>0</v>
      </c>
      <c r="D26" s="180">
        <f t="shared" si="0"/>
        <v>0</v>
      </c>
    </row>
    <row r="27" spans="1:4" x14ac:dyDescent="0.2">
      <c r="A27">
        <v>3100</v>
      </c>
      <c r="B27" t="s">
        <v>11</v>
      </c>
      <c r="C27" s="177">
        <f>ROUND('DOE25'!L361-'DOE25'!L360,0)-SUM('DOE25'!G96:G109)</f>
        <v>26979.63</v>
      </c>
      <c r="D27" s="180">
        <f t="shared" si="0"/>
        <v>0.6</v>
      </c>
    </row>
    <row r="28" spans="1:4" x14ac:dyDescent="0.2">
      <c r="B28" s="185" t="s">
        <v>723</v>
      </c>
      <c r="C28" s="178">
        <f>SUM(C10:C27)</f>
        <v>4806047.63</v>
      </c>
      <c r="D28" s="182">
        <f>ROUND(SUM(D10:D27),0)</f>
        <v>100</v>
      </c>
    </row>
    <row r="29" spans="1:4" x14ac:dyDescent="0.2">
      <c r="A29">
        <v>4000</v>
      </c>
      <c r="B29" t="s">
        <v>728</v>
      </c>
      <c r="C29" s="177">
        <f>ROUND('DOE25'!L254+'DOE25'!L335+'DOE25'!L373+'DOE25'!L374+'DOE25'!L375+'DOE25'!L376+'DOE25'!L377+'DOE25'!L378+'DOE25'!L379,0)</f>
        <v>0</v>
      </c>
    </row>
    <row r="30" spans="1:4" x14ac:dyDescent="0.2">
      <c r="B30" s="185" t="s">
        <v>729</v>
      </c>
      <c r="C30" s="178">
        <f>SUM(C28:C29)</f>
        <v>4806047.63</v>
      </c>
    </row>
    <row r="31" spans="1:4" x14ac:dyDescent="0.2">
      <c r="B31" s="33"/>
      <c r="C31" s="178"/>
    </row>
    <row r="32" spans="1:4" x14ac:dyDescent="0.2">
      <c r="A32">
        <v>5100</v>
      </c>
      <c r="B32" s="33" t="s">
        <v>730</v>
      </c>
      <c r="C32" s="178">
        <f>ROUND('DOE25'!L259+'DOE25'!L340,0)</f>
        <v>0</v>
      </c>
    </row>
    <row r="34" spans="1:4" x14ac:dyDescent="0.2">
      <c r="A34" s="185" t="s">
        <v>94</v>
      </c>
      <c r="B34" s="186" t="s">
        <v>860</v>
      </c>
      <c r="C34" s="179" t="s">
        <v>724</v>
      </c>
      <c r="D34" s="179" t="s">
        <v>725</v>
      </c>
    </row>
    <row r="35" spans="1:4" x14ac:dyDescent="0.2">
      <c r="A35">
        <v>1100</v>
      </c>
      <c r="B35" s="183" t="s">
        <v>731</v>
      </c>
      <c r="C35" s="177">
        <f>ROUND('DOE25'!F59+'DOE25'!G59+'DOE25'!H59+'DOE25'!I59+'DOE25'!J59,0)</f>
        <v>3564654</v>
      </c>
      <c r="D35" s="180">
        <f t="shared" ref="D35:D40" si="1">ROUND((C35/$C$41)*100,1)</f>
        <v>73.3</v>
      </c>
    </row>
    <row r="36" spans="1:4" x14ac:dyDescent="0.2">
      <c r="B36" s="183" t="s">
        <v>743</v>
      </c>
      <c r="C36" s="177">
        <f>SUM('DOE25'!F111:J111)-SUM('DOE25'!G96:G109)+('DOE25'!F173+'DOE25'!F174+'DOE25'!I173+'DOE25'!I174)-C35</f>
        <v>6661.3799999998882</v>
      </c>
      <c r="D36" s="180">
        <f t="shared" si="1"/>
        <v>0.1</v>
      </c>
    </row>
    <row r="37" spans="1:4" x14ac:dyDescent="0.2">
      <c r="A37" s="181" t="s">
        <v>853</v>
      </c>
      <c r="B37" s="183" t="s">
        <v>732</v>
      </c>
      <c r="C37" s="177">
        <f>ROUND('DOE25'!F116+'DOE25'!F117+'DOE25'!F118,0)</f>
        <v>1181164</v>
      </c>
      <c r="D37" s="180">
        <f t="shared" si="1"/>
        <v>24.3</v>
      </c>
    </row>
    <row r="38" spans="1:4" x14ac:dyDescent="0.2">
      <c r="A38" s="181" t="s">
        <v>738</v>
      </c>
      <c r="B38" s="183" t="s">
        <v>733</v>
      </c>
      <c r="C38" s="177">
        <f>ROUND(SUM('DOE25'!F139:J139)-SUM('DOE25'!F116:F118),0)</f>
        <v>692</v>
      </c>
      <c r="D38" s="180">
        <f t="shared" si="1"/>
        <v>0</v>
      </c>
    </row>
    <row r="39" spans="1:4" x14ac:dyDescent="0.2">
      <c r="A39">
        <v>4000</v>
      </c>
      <c r="B39" s="183" t="s">
        <v>734</v>
      </c>
      <c r="C39" s="177">
        <f>ROUND('DOE25'!F168+'DOE25'!G168+'DOE25'!H168+'DOE25'!I168,0)</f>
        <v>106892</v>
      </c>
      <c r="D39" s="180">
        <f t="shared" si="1"/>
        <v>2.2000000000000002</v>
      </c>
    </row>
    <row r="40" spans="1:4" x14ac:dyDescent="0.2">
      <c r="A40" s="181" t="s">
        <v>739</v>
      </c>
      <c r="B40" s="183" t="s">
        <v>735</v>
      </c>
      <c r="C40" s="177">
        <f>ROUND(SUM('DOE25'!F188:F190)+SUM('DOE25'!G188:G190)+SUM('DOE25'!H188:H190)+SUM('DOE25'!I188:I190),0)</f>
        <v>0</v>
      </c>
      <c r="D40" s="180">
        <f t="shared" si="1"/>
        <v>0</v>
      </c>
    </row>
    <row r="41" spans="1:4" x14ac:dyDescent="0.2">
      <c r="B41" s="185" t="s">
        <v>736</v>
      </c>
      <c r="C41" s="178">
        <f>SUM(C35:C40)</f>
        <v>4860063.38</v>
      </c>
      <c r="D41" s="182">
        <f>SUM(D35:D40)</f>
        <v>99.899999999999991</v>
      </c>
    </row>
    <row r="42" spans="1:4" x14ac:dyDescent="0.2">
      <c r="A42" s="181" t="s">
        <v>741</v>
      </c>
      <c r="B42" s="183" t="s">
        <v>737</v>
      </c>
      <c r="C42" s="177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23" sqref="C23:M2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2"/>
      <c r="K1" s="212"/>
      <c r="L1" s="212"/>
      <c r="M1" s="213"/>
    </row>
    <row r="2" spans="1:26" ht="12.75" x14ac:dyDescent="0.2">
      <c r="A2" s="294" t="s">
        <v>767</v>
      </c>
      <c r="B2" s="295"/>
      <c r="C2" s="295"/>
      <c r="D2" s="295"/>
      <c r="E2" s="295"/>
      <c r="F2" s="288" t="str">
        <f>'DOE25'!A2</f>
        <v>Rollinsford</v>
      </c>
      <c r="G2" s="289"/>
      <c r="H2" s="289"/>
      <c r="I2" s="289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7">
        <v>19</v>
      </c>
      <c r="B4" s="218">
        <v>1</v>
      </c>
      <c r="C4" s="278" t="s">
        <v>910</v>
      </c>
      <c r="D4" s="278"/>
      <c r="E4" s="278"/>
      <c r="F4" s="278"/>
      <c r="G4" s="278"/>
      <c r="H4" s="278"/>
      <c r="I4" s="278"/>
      <c r="J4" s="278"/>
      <c r="K4" s="278"/>
      <c r="L4" s="278"/>
      <c r="M4" s="279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7"/>
      <c r="B5" s="21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9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7"/>
      <c r="B6" s="218"/>
      <c r="C6" s="278"/>
      <c r="D6" s="278"/>
      <c r="E6" s="278"/>
      <c r="F6" s="278"/>
      <c r="G6" s="278"/>
      <c r="H6" s="278"/>
      <c r="I6" s="278"/>
      <c r="J6" s="278"/>
      <c r="K6" s="278"/>
      <c r="L6" s="278"/>
      <c r="M6" s="279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7"/>
      <c r="B7" s="218"/>
      <c r="C7" s="278"/>
      <c r="D7" s="278"/>
      <c r="E7" s="278"/>
      <c r="F7" s="278"/>
      <c r="G7" s="278"/>
      <c r="H7" s="278"/>
      <c r="I7" s="278"/>
      <c r="J7" s="278"/>
      <c r="K7" s="278"/>
      <c r="L7" s="278"/>
      <c r="M7" s="279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7"/>
      <c r="B8" s="218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279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7"/>
      <c r="B9" s="218"/>
      <c r="C9" s="278"/>
      <c r="D9" s="278"/>
      <c r="E9" s="278"/>
      <c r="F9" s="278"/>
      <c r="G9" s="278"/>
      <c r="H9" s="278"/>
      <c r="I9" s="278"/>
      <c r="J9" s="278"/>
      <c r="K9" s="278"/>
      <c r="L9" s="278"/>
      <c r="M9" s="279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7"/>
      <c r="B10" s="218"/>
      <c r="C10" s="278"/>
      <c r="D10" s="278"/>
      <c r="E10" s="278"/>
      <c r="F10" s="278"/>
      <c r="G10" s="278"/>
      <c r="H10" s="278"/>
      <c r="I10" s="278"/>
      <c r="J10" s="278"/>
      <c r="K10" s="278"/>
      <c r="L10" s="278"/>
      <c r="M10" s="279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7"/>
      <c r="B11" s="218"/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9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7"/>
      <c r="B12" s="218"/>
      <c r="C12" s="278"/>
      <c r="D12" s="278"/>
      <c r="E12" s="278"/>
      <c r="F12" s="278"/>
      <c r="G12" s="278"/>
      <c r="H12" s="278"/>
      <c r="I12" s="278"/>
      <c r="J12" s="278"/>
      <c r="K12" s="278"/>
      <c r="L12" s="278"/>
      <c r="M12" s="279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7"/>
      <c r="B13" s="218"/>
      <c r="C13" s="278"/>
      <c r="D13" s="278"/>
      <c r="E13" s="278"/>
      <c r="F13" s="278"/>
      <c r="G13" s="278"/>
      <c r="H13" s="278"/>
      <c r="I13" s="278"/>
      <c r="J13" s="278"/>
      <c r="K13" s="278"/>
      <c r="L13" s="278"/>
      <c r="M13" s="279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7"/>
      <c r="B14" s="218"/>
      <c r="C14" s="278"/>
      <c r="D14" s="278"/>
      <c r="E14" s="278"/>
      <c r="F14" s="278"/>
      <c r="G14" s="278"/>
      <c r="H14" s="278"/>
      <c r="I14" s="278"/>
      <c r="J14" s="278"/>
      <c r="K14" s="278"/>
      <c r="L14" s="278"/>
      <c r="M14" s="279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7"/>
      <c r="B15" s="218"/>
      <c r="C15" s="278"/>
      <c r="D15" s="278"/>
      <c r="E15" s="278"/>
      <c r="F15" s="278"/>
      <c r="G15" s="278"/>
      <c r="H15" s="278"/>
      <c r="I15" s="278"/>
      <c r="J15" s="278"/>
      <c r="K15" s="278"/>
      <c r="L15" s="278"/>
      <c r="M15" s="279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7"/>
      <c r="B16" s="218"/>
      <c r="C16" s="278"/>
      <c r="D16" s="278"/>
      <c r="E16" s="278"/>
      <c r="F16" s="278"/>
      <c r="G16" s="278"/>
      <c r="H16" s="278"/>
      <c r="I16" s="278"/>
      <c r="J16" s="278"/>
      <c r="K16" s="278"/>
      <c r="L16" s="278"/>
      <c r="M16" s="279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7"/>
      <c r="B17" s="218"/>
      <c r="C17" s="278"/>
      <c r="D17" s="278"/>
      <c r="E17" s="278"/>
      <c r="F17" s="278"/>
      <c r="G17" s="278"/>
      <c r="H17" s="278"/>
      <c r="I17" s="278"/>
      <c r="J17" s="278"/>
      <c r="K17" s="278"/>
      <c r="L17" s="278"/>
      <c r="M17" s="279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7"/>
      <c r="B18" s="218"/>
      <c r="C18" s="278"/>
      <c r="D18" s="278"/>
      <c r="E18" s="278"/>
      <c r="F18" s="278"/>
      <c r="G18" s="278"/>
      <c r="H18" s="278"/>
      <c r="I18" s="278"/>
      <c r="J18" s="278"/>
      <c r="K18" s="278"/>
      <c r="L18" s="278"/>
      <c r="M18" s="279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7"/>
      <c r="B19" s="218"/>
      <c r="C19" s="278"/>
      <c r="D19" s="278"/>
      <c r="E19" s="278"/>
      <c r="F19" s="278"/>
      <c r="G19" s="278"/>
      <c r="H19" s="278"/>
      <c r="I19" s="278"/>
      <c r="J19" s="278"/>
      <c r="K19" s="278"/>
      <c r="L19" s="278"/>
      <c r="M19" s="279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7"/>
      <c r="B20" s="218"/>
      <c r="C20" s="278"/>
      <c r="D20" s="278"/>
      <c r="E20" s="278"/>
      <c r="F20" s="278"/>
      <c r="G20" s="278"/>
      <c r="H20" s="278"/>
      <c r="I20" s="278"/>
      <c r="J20" s="278"/>
      <c r="K20" s="278"/>
      <c r="L20" s="278"/>
      <c r="M20" s="279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7"/>
      <c r="B21" s="218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9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7"/>
      <c r="B22" s="218"/>
      <c r="C22" s="278"/>
      <c r="D22" s="278"/>
      <c r="E22" s="278"/>
      <c r="F22" s="278"/>
      <c r="G22" s="278"/>
      <c r="H22" s="278"/>
      <c r="I22" s="278"/>
      <c r="J22" s="278"/>
      <c r="K22" s="278"/>
      <c r="L22" s="278"/>
      <c r="M22" s="279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7"/>
      <c r="B23" s="218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9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7"/>
      <c r="B24" s="21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9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7"/>
      <c r="B25" s="218"/>
      <c r="C25" s="278"/>
      <c r="D25" s="278"/>
      <c r="E25" s="278"/>
      <c r="F25" s="278"/>
      <c r="G25" s="278"/>
      <c r="H25" s="278"/>
      <c r="I25" s="278"/>
      <c r="J25" s="278"/>
      <c r="K25" s="278"/>
      <c r="L25" s="278"/>
      <c r="M25" s="279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7"/>
      <c r="B26" s="21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9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7"/>
      <c r="B27" s="21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9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7"/>
      <c r="B28" s="218"/>
      <c r="C28" s="278"/>
      <c r="D28" s="278"/>
      <c r="E28" s="278"/>
      <c r="F28" s="278"/>
      <c r="G28" s="278"/>
      <c r="H28" s="278"/>
      <c r="I28" s="278"/>
      <c r="J28" s="278"/>
      <c r="K28" s="278"/>
      <c r="L28" s="278"/>
      <c r="M28" s="279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7"/>
      <c r="B29" s="218"/>
      <c r="C29" s="278"/>
      <c r="D29" s="278"/>
      <c r="E29" s="278"/>
      <c r="F29" s="278"/>
      <c r="G29" s="278"/>
      <c r="H29" s="278"/>
      <c r="I29" s="278"/>
      <c r="J29" s="278"/>
      <c r="K29" s="278"/>
      <c r="L29" s="278"/>
      <c r="M29" s="279"/>
      <c r="N29" s="210"/>
      <c r="O29" s="21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6"/>
      <c r="AB29" s="206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6"/>
      <c r="AO29" s="206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6"/>
      <c r="BB29" s="206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6"/>
      <c r="BO29" s="206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6"/>
      <c r="CB29" s="206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6"/>
      <c r="CO29" s="206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6"/>
      <c r="DB29" s="206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6"/>
      <c r="DO29" s="206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6"/>
      <c r="EB29" s="206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6"/>
      <c r="EO29" s="206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6"/>
      <c r="FB29" s="206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6"/>
      <c r="FO29" s="206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6"/>
      <c r="GB29" s="206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6"/>
      <c r="GO29" s="206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6"/>
      <c r="HB29" s="206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6"/>
      <c r="HO29" s="206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6"/>
      <c r="IB29" s="206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6"/>
      <c r="IO29" s="206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7"/>
      <c r="B30" s="218"/>
      <c r="C30" s="278"/>
      <c r="D30" s="278"/>
      <c r="E30" s="278"/>
      <c r="F30" s="278"/>
      <c r="G30" s="278"/>
      <c r="H30" s="278"/>
      <c r="I30" s="278"/>
      <c r="J30" s="278"/>
      <c r="K30" s="278"/>
      <c r="L30" s="278"/>
      <c r="M30" s="279"/>
      <c r="N30" s="210"/>
      <c r="O30" s="21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6"/>
      <c r="AB30" s="206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6"/>
      <c r="AO30" s="206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6"/>
      <c r="BB30" s="206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6"/>
      <c r="BO30" s="206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6"/>
      <c r="CB30" s="206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6"/>
      <c r="CO30" s="206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6"/>
      <c r="DB30" s="206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6"/>
      <c r="DO30" s="206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6"/>
      <c r="EB30" s="206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6"/>
      <c r="EO30" s="206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6"/>
      <c r="FB30" s="206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6"/>
      <c r="FO30" s="206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6"/>
      <c r="GB30" s="206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6"/>
      <c r="GO30" s="206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6"/>
      <c r="HB30" s="206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6"/>
      <c r="HO30" s="206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6"/>
      <c r="IB30" s="206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6"/>
      <c r="IO30" s="206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7"/>
      <c r="B31" s="21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9"/>
      <c r="N31" s="210"/>
      <c r="O31" s="21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6"/>
      <c r="AB31" s="206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6"/>
      <c r="AO31" s="206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6"/>
      <c r="BB31" s="206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6"/>
      <c r="BO31" s="206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6"/>
      <c r="CB31" s="206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6"/>
      <c r="CO31" s="206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6"/>
      <c r="DB31" s="206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6"/>
      <c r="DO31" s="206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6"/>
      <c r="EB31" s="206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6"/>
      <c r="EO31" s="206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6"/>
      <c r="FB31" s="206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6"/>
      <c r="FO31" s="206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6"/>
      <c r="GB31" s="206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6"/>
      <c r="GO31" s="206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6"/>
      <c r="HB31" s="206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6"/>
      <c r="HO31" s="206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6"/>
      <c r="IB31" s="206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6"/>
      <c r="IO31" s="206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7"/>
      <c r="B32" s="21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9"/>
      <c r="N32" s="222"/>
      <c r="O32" s="222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7"/>
      <c r="AB32" s="218"/>
      <c r="AC32" s="278"/>
      <c r="AD32" s="278"/>
      <c r="AE32" s="278"/>
      <c r="AF32" s="278"/>
      <c r="AG32" s="278"/>
      <c r="AH32" s="278"/>
      <c r="AI32" s="278"/>
      <c r="AJ32" s="278"/>
      <c r="AK32" s="278"/>
      <c r="AL32" s="278"/>
      <c r="AM32" s="279"/>
      <c r="AN32" s="217"/>
      <c r="AO32" s="218"/>
      <c r="AP32" s="278"/>
      <c r="AQ32" s="278"/>
      <c r="AR32" s="278"/>
      <c r="AS32" s="278"/>
      <c r="AT32" s="278"/>
      <c r="AU32" s="278"/>
      <c r="AV32" s="278"/>
      <c r="AW32" s="278"/>
      <c r="AX32" s="278"/>
      <c r="AY32" s="278"/>
      <c r="AZ32" s="279"/>
      <c r="BA32" s="217"/>
      <c r="BB32" s="218"/>
      <c r="BC32" s="278"/>
      <c r="BD32" s="278"/>
      <c r="BE32" s="278"/>
      <c r="BF32" s="278"/>
      <c r="BG32" s="278"/>
      <c r="BH32" s="278"/>
      <c r="BI32" s="278"/>
      <c r="BJ32" s="278"/>
      <c r="BK32" s="278"/>
      <c r="BL32" s="278"/>
      <c r="BM32" s="279"/>
      <c r="BN32" s="217"/>
      <c r="BO32" s="218"/>
      <c r="BP32" s="278"/>
      <c r="BQ32" s="278"/>
      <c r="BR32" s="278"/>
      <c r="BS32" s="278"/>
      <c r="BT32" s="278"/>
      <c r="BU32" s="278"/>
      <c r="BV32" s="278"/>
      <c r="BW32" s="278"/>
      <c r="BX32" s="278"/>
      <c r="BY32" s="278"/>
      <c r="BZ32" s="279"/>
      <c r="CA32" s="217"/>
      <c r="CB32" s="218"/>
      <c r="CC32" s="278"/>
      <c r="CD32" s="278"/>
      <c r="CE32" s="278"/>
      <c r="CF32" s="278"/>
      <c r="CG32" s="278"/>
      <c r="CH32" s="278"/>
      <c r="CI32" s="278"/>
      <c r="CJ32" s="278"/>
      <c r="CK32" s="278"/>
      <c r="CL32" s="278"/>
      <c r="CM32" s="279"/>
      <c r="CN32" s="217"/>
      <c r="CO32" s="218"/>
      <c r="CP32" s="278"/>
      <c r="CQ32" s="278"/>
      <c r="CR32" s="278"/>
      <c r="CS32" s="278"/>
      <c r="CT32" s="278"/>
      <c r="CU32" s="278"/>
      <c r="CV32" s="278"/>
      <c r="CW32" s="278"/>
      <c r="CX32" s="278"/>
      <c r="CY32" s="278"/>
      <c r="CZ32" s="279"/>
      <c r="DA32" s="217"/>
      <c r="DB32" s="218"/>
      <c r="DC32" s="278"/>
      <c r="DD32" s="278"/>
      <c r="DE32" s="278"/>
      <c r="DF32" s="278"/>
      <c r="DG32" s="278"/>
      <c r="DH32" s="278"/>
      <c r="DI32" s="278"/>
      <c r="DJ32" s="278"/>
      <c r="DK32" s="278"/>
      <c r="DL32" s="278"/>
      <c r="DM32" s="279"/>
      <c r="DN32" s="217"/>
      <c r="DO32" s="218"/>
      <c r="DP32" s="278"/>
      <c r="DQ32" s="278"/>
      <c r="DR32" s="278"/>
      <c r="DS32" s="278"/>
      <c r="DT32" s="278"/>
      <c r="DU32" s="278"/>
      <c r="DV32" s="278"/>
      <c r="DW32" s="278"/>
      <c r="DX32" s="278"/>
      <c r="DY32" s="278"/>
      <c r="DZ32" s="279"/>
      <c r="EA32" s="217"/>
      <c r="EB32" s="218"/>
      <c r="EC32" s="278"/>
      <c r="ED32" s="278"/>
      <c r="EE32" s="278"/>
      <c r="EF32" s="278"/>
      <c r="EG32" s="278"/>
      <c r="EH32" s="278"/>
      <c r="EI32" s="278"/>
      <c r="EJ32" s="278"/>
      <c r="EK32" s="278"/>
      <c r="EL32" s="278"/>
      <c r="EM32" s="279"/>
      <c r="EN32" s="217"/>
      <c r="EO32" s="218"/>
      <c r="EP32" s="278"/>
      <c r="EQ32" s="278"/>
      <c r="ER32" s="278"/>
      <c r="ES32" s="278"/>
      <c r="ET32" s="278"/>
      <c r="EU32" s="278"/>
      <c r="EV32" s="278"/>
      <c r="EW32" s="278"/>
      <c r="EX32" s="278"/>
      <c r="EY32" s="278"/>
      <c r="EZ32" s="279"/>
      <c r="FA32" s="217"/>
      <c r="FB32" s="218"/>
      <c r="FC32" s="278"/>
      <c r="FD32" s="278"/>
      <c r="FE32" s="278"/>
      <c r="FF32" s="278"/>
      <c r="FG32" s="278"/>
      <c r="FH32" s="278"/>
      <c r="FI32" s="278"/>
      <c r="FJ32" s="278"/>
      <c r="FK32" s="278"/>
      <c r="FL32" s="278"/>
      <c r="FM32" s="279"/>
      <c r="FN32" s="217"/>
      <c r="FO32" s="218"/>
      <c r="FP32" s="278"/>
      <c r="FQ32" s="278"/>
      <c r="FR32" s="278"/>
      <c r="FS32" s="278"/>
      <c r="FT32" s="278"/>
      <c r="FU32" s="278"/>
      <c r="FV32" s="278"/>
      <c r="FW32" s="278"/>
      <c r="FX32" s="278"/>
      <c r="FY32" s="278"/>
      <c r="FZ32" s="279"/>
      <c r="GA32" s="217"/>
      <c r="GB32" s="218"/>
      <c r="GC32" s="278"/>
      <c r="GD32" s="278"/>
      <c r="GE32" s="278"/>
      <c r="GF32" s="278"/>
      <c r="GG32" s="278"/>
      <c r="GH32" s="278"/>
      <c r="GI32" s="278"/>
      <c r="GJ32" s="278"/>
      <c r="GK32" s="278"/>
      <c r="GL32" s="278"/>
      <c r="GM32" s="279"/>
      <c r="GN32" s="217"/>
      <c r="GO32" s="218"/>
      <c r="GP32" s="278"/>
      <c r="GQ32" s="278"/>
      <c r="GR32" s="278"/>
      <c r="GS32" s="278"/>
      <c r="GT32" s="278"/>
      <c r="GU32" s="278"/>
      <c r="GV32" s="278"/>
      <c r="GW32" s="278"/>
      <c r="GX32" s="278"/>
      <c r="GY32" s="278"/>
      <c r="GZ32" s="279"/>
      <c r="HA32" s="217"/>
      <c r="HB32" s="218"/>
      <c r="HC32" s="278"/>
      <c r="HD32" s="278"/>
      <c r="HE32" s="278"/>
      <c r="HF32" s="278"/>
      <c r="HG32" s="278"/>
      <c r="HH32" s="278"/>
      <c r="HI32" s="278"/>
      <c r="HJ32" s="278"/>
      <c r="HK32" s="278"/>
      <c r="HL32" s="278"/>
      <c r="HM32" s="279"/>
      <c r="HN32" s="217"/>
      <c r="HO32" s="218"/>
      <c r="HP32" s="278"/>
      <c r="HQ32" s="278"/>
      <c r="HR32" s="278"/>
      <c r="HS32" s="278"/>
      <c r="HT32" s="278"/>
      <c r="HU32" s="278"/>
      <c r="HV32" s="278"/>
      <c r="HW32" s="278"/>
      <c r="HX32" s="278"/>
      <c r="HY32" s="278"/>
      <c r="HZ32" s="279"/>
      <c r="IA32" s="217"/>
      <c r="IB32" s="218"/>
      <c r="IC32" s="278"/>
      <c r="ID32" s="278"/>
      <c r="IE32" s="278"/>
      <c r="IF32" s="278"/>
      <c r="IG32" s="278"/>
      <c r="IH32" s="278"/>
      <c r="II32" s="278"/>
      <c r="IJ32" s="278"/>
      <c r="IK32" s="278"/>
      <c r="IL32" s="278"/>
      <c r="IM32" s="279"/>
      <c r="IN32" s="217"/>
      <c r="IO32" s="218"/>
      <c r="IP32" s="278"/>
      <c r="IQ32" s="278"/>
      <c r="IR32" s="278"/>
      <c r="IS32" s="278"/>
      <c r="IT32" s="278"/>
      <c r="IU32" s="278"/>
      <c r="IV32" s="278"/>
    </row>
    <row r="33" spans="1:256" x14ac:dyDescent="0.2">
      <c r="A33" s="217"/>
      <c r="B33" s="218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9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78"/>
      <c r="D34" s="278"/>
      <c r="E34" s="278"/>
      <c r="F34" s="278"/>
      <c r="G34" s="278"/>
      <c r="H34" s="278"/>
      <c r="I34" s="278"/>
      <c r="J34" s="278"/>
      <c r="K34" s="278"/>
      <c r="L34" s="278"/>
      <c r="M34" s="279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78"/>
      <c r="D35" s="278"/>
      <c r="E35" s="278"/>
      <c r="F35" s="278"/>
      <c r="G35" s="278"/>
      <c r="H35" s="278"/>
      <c r="I35" s="278"/>
      <c r="J35" s="278"/>
      <c r="K35" s="278"/>
      <c r="L35" s="278"/>
      <c r="M35" s="279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78"/>
      <c r="D36" s="278"/>
      <c r="E36" s="278"/>
      <c r="F36" s="278"/>
      <c r="G36" s="278"/>
      <c r="H36" s="278"/>
      <c r="I36" s="278"/>
      <c r="J36" s="278"/>
      <c r="K36" s="278"/>
      <c r="L36" s="278"/>
      <c r="M36" s="279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9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9"/>
      <c r="N38" s="210"/>
      <c r="O38" s="21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6"/>
      <c r="AB38" s="206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6"/>
      <c r="AO38" s="206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6"/>
      <c r="BB38" s="206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6"/>
      <c r="BO38" s="206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6"/>
      <c r="CB38" s="206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6"/>
      <c r="CO38" s="206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6"/>
      <c r="DB38" s="206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6"/>
      <c r="DO38" s="206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6"/>
      <c r="EB38" s="206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6"/>
      <c r="EO38" s="206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6"/>
      <c r="FB38" s="206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6"/>
      <c r="FO38" s="206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6"/>
      <c r="GB38" s="206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6"/>
      <c r="GO38" s="206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6"/>
      <c r="HB38" s="206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6"/>
      <c r="HO38" s="206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6"/>
      <c r="IB38" s="206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6"/>
      <c r="IO38" s="206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7"/>
      <c r="B39" s="21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9"/>
      <c r="N39" s="210"/>
      <c r="O39" s="21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6"/>
      <c r="AB39" s="206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6"/>
      <c r="AO39" s="206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6"/>
      <c r="BB39" s="206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6"/>
      <c r="BO39" s="206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6"/>
      <c r="CB39" s="206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6"/>
      <c r="CO39" s="206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6"/>
      <c r="DB39" s="206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6"/>
      <c r="DO39" s="206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6"/>
      <c r="EB39" s="206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6"/>
      <c r="EO39" s="206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6"/>
      <c r="FB39" s="206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6"/>
      <c r="FO39" s="206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6"/>
      <c r="GB39" s="206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6"/>
      <c r="GO39" s="206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6"/>
      <c r="HB39" s="206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6"/>
      <c r="HO39" s="206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6"/>
      <c r="IB39" s="206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6"/>
      <c r="IO39" s="206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7"/>
      <c r="B40" s="21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9"/>
      <c r="N40" s="210"/>
      <c r="O40" s="21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6"/>
      <c r="AB40" s="206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6"/>
      <c r="AO40" s="206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6"/>
      <c r="BB40" s="206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6"/>
      <c r="BO40" s="206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6"/>
      <c r="CB40" s="206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6"/>
      <c r="CO40" s="206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6"/>
      <c r="DB40" s="206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6"/>
      <c r="DO40" s="206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6"/>
      <c r="EB40" s="206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6"/>
      <c r="EO40" s="206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6"/>
      <c r="FB40" s="206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6"/>
      <c r="FO40" s="206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6"/>
      <c r="GB40" s="206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6"/>
      <c r="GO40" s="206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6"/>
      <c r="HB40" s="206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6"/>
      <c r="HO40" s="206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6"/>
      <c r="IB40" s="206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6"/>
      <c r="IO40" s="206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7"/>
      <c r="B41" s="218"/>
      <c r="C41" s="278"/>
      <c r="D41" s="278"/>
      <c r="E41" s="278"/>
      <c r="F41" s="278"/>
      <c r="G41" s="278"/>
      <c r="H41" s="278"/>
      <c r="I41" s="278"/>
      <c r="J41" s="278"/>
      <c r="K41" s="278"/>
      <c r="L41" s="278"/>
      <c r="M41" s="279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9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9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9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9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9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9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9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9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9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7"/>
      <c r="B51" s="21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9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7"/>
      <c r="B52" s="21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9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7"/>
      <c r="B53" s="21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9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7"/>
      <c r="B54" s="21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9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7"/>
      <c r="B55" s="21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9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7"/>
      <c r="B56" s="21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9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7"/>
      <c r="B57" s="21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9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7"/>
      <c r="B58" s="21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9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7"/>
      <c r="B59" s="21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9"/>
    </row>
    <row r="60" spans="1:256" x14ac:dyDescent="0.2">
      <c r="A60" s="217"/>
      <c r="B60" s="21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9"/>
    </row>
    <row r="61" spans="1:256" x14ac:dyDescent="0.2">
      <c r="A61" s="217"/>
      <c r="B61" s="21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9"/>
    </row>
    <row r="62" spans="1:256" x14ac:dyDescent="0.2">
      <c r="A62" s="217"/>
      <c r="B62" s="21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9"/>
    </row>
    <row r="63" spans="1:256" x14ac:dyDescent="0.2">
      <c r="A63" s="217"/>
      <c r="B63" s="21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9"/>
    </row>
    <row r="64" spans="1:256" x14ac:dyDescent="0.2">
      <c r="A64" s="217"/>
      <c r="B64" s="21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9"/>
    </row>
    <row r="65" spans="1:13" x14ac:dyDescent="0.2">
      <c r="A65" s="217"/>
      <c r="B65" s="21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9"/>
    </row>
    <row r="66" spans="1:13" x14ac:dyDescent="0.2">
      <c r="A66" s="217"/>
      <c r="B66" s="21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9"/>
    </row>
    <row r="67" spans="1:13" x14ac:dyDescent="0.2">
      <c r="A67" s="217"/>
      <c r="B67" s="21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9"/>
    </row>
    <row r="68" spans="1:13" x14ac:dyDescent="0.2">
      <c r="A68" s="217"/>
      <c r="B68" s="21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9"/>
    </row>
    <row r="69" spans="1:13" x14ac:dyDescent="0.2">
      <c r="A69" s="217"/>
      <c r="B69" s="21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9"/>
    </row>
    <row r="70" spans="1:13" ht="12" thickBot="1" x14ac:dyDescent="0.25">
      <c r="A70" s="219"/>
      <c r="B70" s="220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2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83" t="s">
        <v>848</v>
      </c>
      <c r="B72" s="283"/>
      <c r="C72" s="283"/>
      <c r="D72" s="283"/>
      <c r="E72" s="283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9" t="s">
        <v>768</v>
      </c>
      <c r="B73" s="209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0"/>
      <c r="B74" s="21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0"/>
      <c r="B75" s="210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0"/>
      <c r="B76" s="210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0"/>
      <c r="B77" s="21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0"/>
      <c r="B78" s="21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0"/>
      <c r="B79" s="210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0"/>
      <c r="B80" s="210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0"/>
      <c r="B81" s="210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0"/>
      <c r="B82" s="210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0"/>
      <c r="B83" s="21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0"/>
      <c r="B84" s="21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0"/>
      <c r="B85" s="210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0"/>
      <c r="B86" s="210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0"/>
      <c r="B87" s="210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0"/>
      <c r="B88" s="210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0"/>
      <c r="B89" s="210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0"/>
      <c r="B90" s="210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2012-10-10T13:38:47Z</cp:lastPrinted>
  <dcterms:created xsi:type="dcterms:W3CDTF">1997-12-04T19:04:30Z</dcterms:created>
  <dcterms:modified xsi:type="dcterms:W3CDTF">2012-11-21T15:22:52Z</dcterms:modified>
</cp:coreProperties>
</file>