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 s="1"/>
  <c r="I457" i="1"/>
  <c r="J39" i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G31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H663" i="1" s="1"/>
  <c r="H671" i="1" s="1"/>
  <c r="L611" i="1"/>
  <c r="G662" i="1" s="1"/>
  <c r="L610" i="1"/>
  <c r="F662" i="1" s="1"/>
  <c r="I662" i="1" s="1"/>
  <c r="C40" i="10"/>
  <c r="F59" i="1"/>
  <c r="G59" i="1"/>
  <c r="G111" i="1" s="1"/>
  <c r="H59" i="1"/>
  <c r="I59" i="1"/>
  <c r="F78" i="1"/>
  <c r="F93" i="1"/>
  <c r="F110" i="1"/>
  <c r="G110" i="1"/>
  <c r="H78" i="1"/>
  <c r="H93" i="1"/>
  <c r="H110" i="1"/>
  <c r="I110" i="1"/>
  <c r="J110" i="1"/>
  <c r="J111" i="1" s="1"/>
  <c r="F120" i="1"/>
  <c r="F135" i="1"/>
  <c r="F139" i="1" s="1"/>
  <c r="G120" i="1"/>
  <c r="G135" i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50" i="1" s="1"/>
  <c r="L346" i="1"/>
  <c r="K350" i="1"/>
  <c r="L520" i="1"/>
  <c r="F548" i="1"/>
  <c r="L521" i="1"/>
  <c r="F549" i="1"/>
  <c r="L522" i="1"/>
  <c r="F550" i="1"/>
  <c r="L525" i="1"/>
  <c r="G548" i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C9" i="2"/>
  <c r="D9" i="2"/>
  <c r="E9" i="2"/>
  <c r="F9" i="2"/>
  <c r="I439" i="1"/>
  <c r="J10" i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I456" i="1"/>
  <c r="J37" i="1" s="1"/>
  <c r="G36" i="2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G50" i="1"/>
  <c r="H50" i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I433" i="1" s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H649" i="1"/>
  <c r="J649" i="1"/>
  <c r="G650" i="1"/>
  <c r="G651" i="1"/>
  <c r="H651" i="1"/>
  <c r="J651" i="1" s="1"/>
  <c r="G652" i="1"/>
  <c r="H652" i="1"/>
  <c r="J652" i="1" s="1"/>
  <c r="G653" i="1"/>
  <c r="H653" i="1"/>
  <c r="H654" i="1"/>
  <c r="F191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F77" i="2"/>
  <c r="F61" i="2"/>
  <c r="F62" i="2"/>
  <c r="D31" i="2"/>
  <c r="C77" i="2"/>
  <c r="D49" i="2"/>
  <c r="D50" i="2"/>
  <c r="G156" i="2"/>
  <c r="F49" i="2"/>
  <c r="F50" i="2" s="1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C103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E90" i="2"/>
  <c r="C80" i="2"/>
  <c r="E77" i="2"/>
  <c r="L426" i="1"/>
  <c r="J256" i="1"/>
  <c r="H111" i="1"/>
  <c r="F111" i="1"/>
  <c r="J640" i="1"/>
  <c r="J638" i="1"/>
  <c r="K604" i="1"/>
  <c r="G647" i="1"/>
  <c r="J570" i="1"/>
  <c r="K570" i="1"/>
  <c r="L432" i="1"/>
  <c r="L418" i="1"/>
  <c r="I168" i="1"/>
  <c r="H168" i="1"/>
  <c r="J270" i="1"/>
  <c r="E50" i="2"/>
  <c r="J643" i="1"/>
  <c r="J642" i="1"/>
  <c r="J475" i="1"/>
  <c r="H625" i="1"/>
  <c r="H475" i="1"/>
  <c r="H623" i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C23" i="10"/>
  <c r="F168" i="1"/>
  <c r="J139" i="1"/>
  <c r="F570" i="1"/>
  <c r="H256" i="1"/>
  <c r="H270" i="1" s="1"/>
  <c r="G22" i="2"/>
  <c r="K597" i="1"/>
  <c r="G646" i="1"/>
  <c r="J646" i="1" s="1"/>
  <c r="K544" i="1"/>
  <c r="C29" i="10"/>
  <c r="I660" i="1"/>
  <c r="H139" i="1"/>
  <c r="L400" i="1"/>
  <c r="C138" i="2"/>
  <c r="L392" i="1"/>
  <c r="A13" i="12"/>
  <c r="F22" i="13"/>
  <c r="H25" i="13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E127" i="2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H192" i="1"/>
  <c r="G628" i="1" s="1"/>
  <c r="J628" i="1" s="1"/>
  <c r="L564" i="1"/>
  <c r="L570" i="1" s="1"/>
  <c r="G544" i="1"/>
  <c r="L544" i="1"/>
  <c r="H544" i="1"/>
  <c r="C22" i="13"/>
  <c r="C137" i="2"/>
  <c r="C16" i="13"/>
  <c r="G659" i="1"/>
  <c r="G663" i="1" s="1"/>
  <c r="L337" i="1"/>
  <c r="C25" i="13"/>
  <c r="H33" i="13"/>
  <c r="J641" i="1"/>
  <c r="G8" i="2"/>
  <c r="E144" i="2"/>
  <c r="G33" i="13"/>
  <c r="F51" i="1"/>
  <c r="H616" i="1" s="1"/>
  <c r="J616" i="1" s="1"/>
  <c r="H51" i="1"/>
  <c r="H618" i="1" s="1"/>
  <c r="J618" i="1" s="1"/>
  <c r="G51" i="1"/>
  <c r="H617" i="1" s="1"/>
  <c r="J617" i="1" s="1"/>
  <c r="C127" i="2"/>
  <c r="E33" i="13"/>
  <c r="D35" i="13" s="1"/>
  <c r="H659" i="1"/>
  <c r="C6" i="10"/>
  <c r="I659" i="1"/>
  <c r="J192" i="1"/>
  <c r="G630" i="1"/>
  <c r="G645" i="1"/>
  <c r="J630" i="1"/>
  <c r="J551" i="1"/>
  <c r="H551" i="1"/>
  <c r="K550" i="1"/>
  <c r="F544" i="1"/>
  <c r="K548" i="1"/>
  <c r="F551" i="1"/>
  <c r="F192" i="1" l="1"/>
  <c r="G626" i="1" s="1"/>
  <c r="J626" i="1" s="1"/>
  <c r="G666" i="1"/>
  <c r="G671" i="1"/>
  <c r="C28" i="10"/>
  <c r="I663" i="1"/>
  <c r="F663" i="1"/>
  <c r="J619" i="1"/>
  <c r="F143" i="2"/>
  <c r="F144" i="2" s="1"/>
  <c r="D102" i="2"/>
  <c r="D80" i="2"/>
  <c r="D103" i="2" s="1"/>
  <c r="F80" i="2"/>
  <c r="F103" i="2" s="1"/>
  <c r="I551" i="1"/>
  <c r="L351" i="1"/>
  <c r="G632" i="1" s="1"/>
  <c r="J632" i="1" s="1"/>
  <c r="C39" i="10"/>
  <c r="G62" i="2"/>
  <c r="L406" i="1"/>
  <c r="L433" i="1"/>
  <c r="G637" i="1" s="1"/>
  <c r="J637" i="1" s="1"/>
  <c r="J653" i="1"/>
  <c r="G570" i="1"/>
  <c r="G433" i="1"/>
  <c r="J635" i="1"/>
  <c r="I337" i="1"/>
  <c r="I351" i="1" s="1"/>
  <c r="G160" i="2"/>
  <c r="D144" i="2"/>
  <c r="G80" i="2"/>
  <c r="E80" i="2"/>
  <c r="E103" i="2" s="1"/>
  <c r="L256" i="1"/>
  <c r="L270" i="1" s="1"/>
  <c r="G631" i="1" s="1"/>
  <c r="J631" i="1" s="1"/>
  <c r="G139" i="1"/>
  <c r="C38" i="10" s="1"/>
  <c r="I111" i="1"/>
  <c r="C36" i="10" s="1"/>
  <c r="A22" i="12"/>
  <c r="F31" i="13"/>
  <c r="I671" i="1"/>
  <c r="C7" i="10" s="1"/>
  <c r="I666" i="1"/>
  <c r="H666" i="1"/>
  <c r="D15" i="10"/>
  <c r="D20" i="10"/>
  <c r="D16" i="10"/>
  <c r="J647" i="1"/>
  <c r="H647" i="1"/>
  <c r="J351" i="1"/>
  <c r="G42" i="2"/>
  <c r="G49" i="2" s="1"/>
  <c r="J50" i="1"/>
  <c r="J32" i="1"/>
  <c r="G21" i="2"/>
  <c r="G31" i="2" s="1"/>
  <c r="G12" i="2"/>
  <c r="G18" i="2" s="1"/>
  <c r="J19" i="1"/>
  <c r="G620" i="1" s="1"/>
  <c r="G551" i="1"/>
  <c r="G103" i="2"/>
  <c r="C139" i="2"/>
  <c r="C140" i="2" s="1"/>
  <c r="L407" i="1"/>
  <c r="G163" i="2"/>
  <c r="K549" i="1"/>
  <c r="K551" i="1" s="1"/>
  <c r="G192" i="1"/>
  <c r="G627" i="1" s="1"/>
  <c r="J627" i="1" s="1"/>
  <c r="I192" i="1"/>
  <c r="G629" i="1" s="1"/>
  <c r="J629" i="1" s="1"/>
  <c r="D31" i="13"/>
  <c r="F33" i="13"/>
  <c r="C41" i="10" l="1"/>
  <c r="F671" i="1"/>
  <c r="C4" i="10" s="1"/>
  <c r="F666" i="1"/>
  <c r="D25" i="10"/>
  <c r="D21" i="10"/>
  <c r="D22" i="10"/>
  <c r="D23" i="10"/>
  <c r="D12" i="10"/>
  <c r="D13" i="10"/>
  <c r="D11" i="10"/>
  <c r="C30" i="10"/>
  <c r="D18" i="10"/>
  <c r="D19" i="10"/>
  <c r="D10" i="10"/>
  <c r="D26" i="10"/>
  <c r="D27" i="10"/>
  <c r="D17" i="10"/>
  <c r="G50" i="2"/>
  <c r="D24" i="10"/>
  <c r="D33" i="13"/>
  <c r="D36" i="13" s="1"/>
  <c r="C31" i="13"/>
  <c r="G636" i="1"/>
  <c r="J636" i="1" s="1"/>
  <c r="H645" i="1"/>
  <c r="J645" i="1" s="1"/>
  <c r="G625" i="1"/>
  <c r="J625" i="1" s="1"/>
  <c r="J51" i="1"/>
  <c r="H620" i="1" s="1"/>
  <c r="J620" i="1" s="1"/>
  <c r="C143" i="2"/>
  <c r="C144" i="2" s="1"/>
  <c r="D28" i="10"/>
  <c r="D37" i="10" l="1"/>
  <c r="D40" i="10"/>
  <c r="D39" i="10"/>
  <c r="D35" i="10"/>
  <c r="D36" i="10"/>
  <c r="D38" i="10"/>
  <c r="H655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<sst xmlns="http://schemas.openxmlformats.org/spreadsheetml/2006/main" count="3946" uniqueCount="913">
  <si>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</si>
  <si>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</si>
  <si>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</si>
  <si>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</si>
  <si>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</si>
  <si>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</si>
  <si>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</si>
  <si>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</si>
  <si>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</si>
  <si>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</si>
  <si>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</si>
  <si>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</si>
  <si>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</si>
  <si>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</si>
  <si>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</si>
  <si>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</si>
  <si>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</si>
  <si>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</si>
  <si>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</si>
  <si>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</si>
  <si>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</si>
  <si>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</si>
  <si>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</si>
  <si>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</si>
  <si>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</si>
  <si>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</si>
  <si>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</si>
  <si>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</si>
  <si>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</si>
  <si>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</si>
  <si>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</si>
  <si>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</si>
  <si>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</si>
  <si>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</si>
  <si>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</si>
  <si>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</si>
  <si>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</si>
  <si>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</si>
  <si>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</si>
  <si>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</si>
  <si>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</si>
  <si>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</si>
  <si>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</si>
  <si>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</si>
  <si>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</si>
  <si>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</si>
  <si>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</si>
  <si>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</si>
  <si>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</si>
  <si>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</si>
  <si>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</si>
  <si>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</si>
  <si>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</si>
  <si>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</si>
  <si>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</si>
  <si>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</si>
  <si>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</si>
  <si>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</si>
  <si>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</si>
  <si>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</si>
  <si>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</si>
  <si>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</si>
  <si>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</si>
  <si>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</si>
  <si>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</si>
  <si>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</si>
  <si>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</si>
  <si>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</si>
  <si>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</si>
  <si>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</si>
  <si>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</si>
  <si>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</si>
  <si>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</si>
  <si>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</si>
  <si>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</si>
  <si>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</si>
  <si>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</si>
  <si>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</si>
  <si>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</si>
  <si>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</si>
  <si>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</si>
  <si>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</si>
  <si>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</si>
  <si>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</si>
  <si>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</si>
  <si>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</si>
  <si>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</si>
  <si>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</si>
  <si>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</si>
  <si>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</si>
  <si>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</si>
  <si>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</si>
  <si>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</si>
  <si>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</si>
  <si>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</si>
  <si>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</si>
  <si>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</si>
  <si>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</si>
  <si>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</si>
  <si>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</si>
  <si>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</si>
  <si>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</si>
  <si>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</si>
  <si>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</si>
  <si>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</si>
  <si>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</si>
  <si>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</si>
  <si>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</si>
  <si>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</si>
  <si>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</si>
  <si>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</si>
  <si>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</si>
  <si>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</si>
  <si>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</si>
  <si>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</si>
  <si>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</si>
  <si>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</si>
  <si>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</si>
  <si>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</si>
  <si>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</si>
  <si>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</si>
  <si>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</si>
  <si>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</si>
  <si>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</si>
  <si>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</si>
  <si>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</si>
  <si>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</si>
  <si>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</si>
  <si>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</si>
  <si>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</si>
  <si>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</si>
  <si>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</si>
  <si>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</si>
  <si>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</si>
  <si>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</si>
  <si>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</si>
  <si>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</si>
  <si>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</si>
  <si>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</si>
  <si>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</si>
  <si>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</si>
  <si>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</si>
  <si>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</si>
  <si>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</si>
  <si>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</si>
  <si>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</si>
  <si>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</si>
  <si>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</si>
  <si>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</si>
  <si>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</si>
  <si>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</si>
  <si>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</si>
  <si>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</si>
  <si>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</si>
  <si>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</si>
  <si>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</si>
  <si>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</si>
  <si>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</si>
  <si>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</si>
  <si>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</si>
  <si>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</si>
  <si>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</si>
  <si>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</si>
  <si>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</si>
  <si>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</si>
  <si>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</si>
  <si>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</si>
  <si>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</si>
  <si>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</si>
  <si>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</si>
  <si>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</si>
  <si>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</si>
  <si>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</si>
  <si>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</si>
  <si>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</si>
  <si>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</si>
  <si>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</si>
  <si>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</si>
  <si>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</si>
  <si>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</si>
  <si>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</si>
  <si>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</si>
  <si>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</si>
  <si>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</si>
  <si>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</si>
  <si>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</si>
  <si>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</si>
  <si>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</si>
  <si>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</si>
  <si>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</si>
  <si>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</si>
  <si>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</si>
  <si>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</si>
  <si>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</si>
  <si>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</si>
  <si>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</si>
  <si>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</si>
  <si>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</si>
  <si>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</si>
  <si>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</si>
  <si>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</si>
  <si>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</si>
  <si>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</si>
  <si>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</si>
  <si>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</si>
  <si>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</si>
  <si>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</si>
  <si>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</si>
  <si>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</si>
  <si>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</si>
  <si>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</si>
  <si>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</si>
  <si>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</si>
  <si>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</si>
  <si>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</si>
  <si>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</si>
  <si>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</si>
  <si>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</si>
  <si>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</si>
  <si>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</si>
  <si>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</si>
  <si>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</si>
  <si>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</si>
  <si>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</si>
  <si>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</si>
  <si>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</si>
  <si>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</si>
  <si>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</si>
  <si>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</si>
  <si>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</si>
  <si>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</si>
  <si>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</si>
  <si>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</si>
  <si>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</si>
  <si>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</si>
  <si>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</si>
  <si>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</si>
  <si>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</si>
  <si>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</si>
  <si>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</si>
  <si>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</si>
  <si>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</si>
  <si>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</si>
  <si>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</si>
  <si>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</si>
  <si>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</si>
  <si>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</si>
  <si>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</si>
  <si>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</si>
  <si>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</si>
  <si>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</si>
  <si>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</si>
  <si>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</si>
  <si>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</si>
  <si>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</si>
  <si>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</si>
  <si>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</si>
  <si>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</si>
  <si>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</si>
  <si>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</si>
  <si>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</si>
  <si>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</si>
  <si>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</si>
  <si>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</si>
  <si>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</si>
  <si>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</si>
  <si>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</si>
  <si>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</si>
  <si>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</si>
  <si>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</si>
  <si>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</si>
  <si>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</si>
  <si>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</si>
  <si>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</si>
  <si>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</si>
  <si>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</si>
  <si>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</si>
  <si>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</si>
  <si>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</si>
  <si>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</si>
  <si>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</si>
  <si>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</si>
  <si>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</si>
  <si>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</si>
  <si>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</si>
  <si>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</si>
  <si>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</si>
  <si>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</si>
  <si>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</si>
  <si>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</si>
  <si>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</si>
  <si>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</si>
  <si>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</si>
  <si>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</si>
  <si>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</si>
  <si>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</si>
  <si>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</si>
  <si>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</si>
  <si>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</si>
  <si>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</si>
  <si>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</si>
  <si>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</si>
  <si>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</si>
  <si>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</si>
  <si>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</si>
  <si>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</si>
  <si>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</si>
  <si>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</si>
  <si>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</si>
  <si>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</si>
  <si>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</si>
  <si>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</si>
  <si>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</si>
  <si>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</si>
  <si>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</si>
  <si>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</si>
  <si>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</si>
  <si>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</si>
  <si>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</si>
  <si>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</si>
  <si>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</si>
  <si>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</si>
  <si>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</si>
  <si>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</si>
  <si>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</si>
  <si>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</si>
  <si>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</si>
  <si>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</si>
  <si>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</si>
  <si>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</si>
  <si>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</si>
  <si>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</si>
  <si>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</si>
  <si>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</si>
  <si>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</si>
  <si>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</si>
  <si>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</si>
  <si>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</si>
  <si>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</si>
  <si>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</si>
  <si>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</si>
  <si>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</si>
  <si>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</si>
  <si>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</si>
  <si>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</si>
  <si>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</si>
  <si>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</si>
  <si>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</si>
  <si>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</si>
  <si>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</si>
  <si>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</si>
  <si>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</si>
  <si>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</si>
  <si>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</si>
  <si>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</si>
  <si>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</si>
  <si>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</si>
  <si>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</si>
  <si>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</si>
  <si>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</si>
  <si>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</si>
  <si>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</si>
  <si>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</si>
  <si>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</si>
  <si>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</si>
  <si>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</si>
  <si>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</si>
  <si>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</si>
  <si>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</si>
  <si>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</si>
  <si>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</si>
  <si>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</si>
  <si>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</si>
  <si>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</si>
  <si>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</si>
  <si>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</si>
  <si>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</si>
  <si>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</si>
  <si>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</si>
  <si>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</si>
  <si>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</si>
  <si>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</si>
  <si>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</si>
  <si>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</si>
  <si>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</si>
  <si>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</si>
  <si>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</si>
  <si>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</si>
  <si>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</si>
  <si>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</si>
  <si>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</si>
  <si>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</si>
  <si>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</si>
  <si>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</si>
  <si>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</si>
  <si>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</si>
  <si>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</si>
  <si>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</si>
  <si>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</si>
  <si>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</si>
  <si>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</si>
  <si>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</si>
  <si>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</si>
  <si>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</si>
  <si>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</si>
  <si>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</si>
  <si>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</si>
  <si>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</si>
  <si>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</si>
  <si>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</si>
  <si>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</si>
  <si>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</si>
  <si>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</si>
  <si>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</si>
  <si>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</si>
  <si>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</si>
  <si>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</si>
  <si>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</si>
  <si>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</si>
  <si>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</si>
  <si>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</si>
  <si>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</si>
  <si>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</si>
  <si>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</si>
  <si>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</si>
  <si>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</si>
  <si>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</si>
  <si>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</si>
  <si>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</si>
  <si>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</si>
  <si>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</si>
  <si>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</si>
  <si>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</si>
  <si>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</si>
  <si>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</si>
  <si>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</si>
  <si>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</si>
  <si>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</si>
  <si>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</si>
  <si>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</si>
  <si>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</si>
  <si>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</si>
  <si>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</si>
  <si>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</si>
  <si>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</si>
  <si>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</si>
  <si>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</si>
  <si>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</si>
  <si>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</si>
  <si>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</si>
  <si>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</si>
  <si>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</si>
  <si>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</si>
  <si>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</si>
  <si>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</si>
  <si>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</si>
  <si>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</si>
  <si>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</si>
  <si>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</si>
  <si>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</si>
  <si>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</si>
  <si>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</si>
  <si>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</si>
  <si>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</si>
  <si>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</si>
  <si>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</si>
  <si>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</si>
  <si>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</si>
  <si>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</si>
  <si>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</si>
  <si>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</si>
  <si>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</si>
  <si>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</si>
  <si>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</si>
  <si>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</si>
  <si>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</si>
  <si>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</si>
  <si>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</si>
  <si>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</si>
  <si>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</si>
  <si>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</si>
  <si>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</si>
  <si>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</si>
  <si>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</si>
  <si>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</si>
  <si>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</si>
  <si>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</si>
  <si>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</si>
  <si>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</si>
  <si>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</si>
  <si>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</si>
  <si>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</si>
  <si>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</si>
  <si>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</si>
  <si>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</si>
  <si>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</si>
  <si>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</si>
  <si>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</si>
  <si>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</si>
  <si>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</si>
  <si>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</si>
  <si>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</si>
  <si>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</si>
  <si>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</si>
  <si>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</si>
  <si>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</si>
  <si>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</si>
  <si>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</si>
  <si>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</si>
  <si>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</si>
  <si>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</si>
  <si>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</si>
  <si>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</si>
  <si>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</si>
  <si>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</si>
  <si>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</si>
  <si>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</si>
  <si>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</si>
  <si>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</si>
  <si>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</si>
  <si>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</si>
  <si>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</si>
  <si>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</si>
  <si>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</si>
  <si>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</si>
  <si>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</si>
  <si>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</si>
  <si>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</si>
  <si>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</si>
  <si>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</si>
  <si>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</si>
  <si>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</si>
  <si>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</si>
  <si>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</si>
  <si>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</si>
  <si>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</si>
  <si>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</si>
  <si>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</si>
  <si>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</si>
  <si>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</si>
  <si>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</si>
  <si>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</si>
  <si>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</si>
  <si>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</si>
  <si>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</si>
  <si>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</si>
  <si>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</si>
  <si>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</si>
  <si>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</si>
  <si>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</si>
  <si>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</si>
  <si>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</si>
  <si>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</si>
  <si>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</si>
  <si>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</si>
  <si>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</si>
  <si>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</si>
  <si>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</si>
  <si>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</si>
  <si>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</si>
  <si>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</si>
  <si>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</si>
  <si>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</si>
  <si>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</si>
  <si>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</si>
  <si>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</si>
  <si>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</si>
  <si>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</si>
  <si>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</si>
  <si>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</si>
  <si>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</si>
  <si>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</si>
  <si>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</si>
  <si>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</si>
  <si>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</si>
  <si>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</si>
  <si>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</si>
  <si>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</si>
  <si>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</si>
  <si>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</si>
  <si>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</si>
  <si>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</si>
  <si>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</si>
  <si>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</si>
  <si>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</si>
  <si>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</si>
  <si>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</si>
  <si>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</si>
  <si>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</si>
  <si>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</si>
  <si>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</si>
  <si>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</si>
  <si>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</si>
  <si>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</si>
  <si>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</si>
  <si>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</si>
  <si>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</si>
  <si>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</si>
  <si>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</si>
  <si>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</si>
  <si>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</si>
  <si>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</si>
  <si>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</si>
  <si>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</si>
  <si>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</si>
  <si>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</si>
  <si>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</si>
  <si>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</si>
  <si>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</si>
  <si>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</si>
  <si>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</si>
  <si>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</si>
  <si>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</si>
  <si>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</si>
  <si>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</si>
  <si>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</si>
  <si>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</si>
  <si>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</si>
  <si>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</si>
  <si>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</si>
  <si>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</si>
  <si>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</si>
  <si>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</si>
  <si>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</si>
  <si>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</si>
  <si>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</si>
  <si>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</si>
  <si>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</si>
  <si>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</si>
  <si>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</si>
  <si>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</si>
  <si>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</si>
  <si>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</si>
  <si>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</si>
  <si>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</si>
  <si>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</si>
  <si>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</si>
  <si>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</si>
  <si>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</si>
  <si>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</si>
  <si>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</si>
  <si>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</si>
  <si>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</si>
  <si>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</si>
  <si>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</si>
  <si>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</si>
  <si>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</si>
  <si>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</si>
  <si>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</si>
  <si>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</si>
  <si>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</si>
  <si>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</si>
  <si>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</si>
  <si>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</si>
  <si>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</si>
  <si>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</si>
  <si>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</si>
  <si>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</si>
  <si>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</si>
  <si>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</si>
  <si>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</si>
  <si>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</si>
  <si>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</si>
  <si>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</si>
  <si>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</si>
  <si>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</si>
  <si>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</si>
  <si>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</si>
  <si>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</si>
  <si>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</si>
  <si>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</si>
  <si>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</si>
  <si>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</si>
  <si>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</si>
  <si>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</si>
  <si>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</si>
  <si>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</si>
  <si>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</si>
  <si>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</si>
  <si>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</si>
  <si>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</si>
  <si>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</si>
  <si>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</si>
  <si>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</si>
  <si>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</si>
  <si>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</si>
  <si>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</si>
  <si>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</si>
  <si>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</si>
  <si>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</si>
  <si>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</si>
  <si>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</si>
  <si>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</si>
  <si>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</si>
  <si>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</si>
  <si>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</si>
  <si>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</si>
  <si>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</si>
  <si>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</si>
  <si>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</si>
  <si>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</si>
  <si>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</si>
  <si>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</si>
  <si>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</si>
  <si>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</si>
  <si>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</si>
  <si>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</si>
  <si>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</si>
  <si>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</si>
  <si>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</si>
  <si>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</si>
  <si>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</si>
  <si>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</si>
  <si>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</si>
  <si>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</si>
  <si>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</si>
  <si>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</si>
  <si>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</si>
  <si>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</si>
  <si>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</si>
  <si>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</si>
  <si>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</si>
  <si>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</si>
  <si>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</si>
  <si>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</si>
  <si>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</si>
  <si>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</si>
  <si>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</si>
  <si>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</si>
  <si>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</si>
  <si>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</si>
  <si>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</si>
  <si>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</si>
  <si>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</si>
  <si>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</si>
  <si>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</si>
  <si>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</si>
  <si>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</si>
  <si>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</si>
  <si>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</si>
  <si>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</si>
  <si>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</si>
  <si>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</si>
  <si>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</si>
  <si>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</si>
  <si>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</si>
  <si>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</si>
  <si>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</si>
  <si>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</si>
  <si>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</si>
  <si>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</si>
  <si>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</si>
  <si>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</si>
  <si>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</si>
  <si>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</si>
  <si>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</si>
  <si>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</si>
  <si>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</si>
  <si>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</si>
  <si>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</si>
  <si>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</si>
  <si>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</si>
  <si>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</si>
  <si>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</si>
  <si>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</si>
  <si>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</si>
  <si>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</si>
  <si>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</si>
  <si>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</si>
  <si>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</si>
  <si>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</si>
  <si>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</si>
  <si>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</si>
  <si>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</si>
  <si>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</si>
  <si>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</si>
  <si>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</si>
  <si>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</si>
  <si>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</si>
  <si>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</si>
  <si>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</si>
  <si>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</si>
  <si>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</si>
  <si>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</si>
  <si>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</si>
  <si>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</si>
  <si>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</si>
  <si>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</si>
  <si>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</si>
  <si>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</si>
  <si>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</si>
  <si>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</si>
  <si>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</si>
  <si>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</si>
  <si>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</si>
  <si>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</si>
  <si>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</si>
  <si>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</si>
  <si>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</si>
  <si>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</si>
  <si>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</si>
  <si>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</si>
  <si>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</si>
  <si>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</si>
  <si>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</si>
  <si>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</si>
  <si>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</si>
  <si>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</si>
  <si>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</si>
  <si>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</si>
  <si>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</si>
  <si>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</si>
  <si>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</si>
  <si>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</si>
  <si>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</si>
  <si>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</si>
  <si>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</si>
  <si>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</si>
  <si>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</si>
  <si>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</si>
  <si>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</si>
  <si>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</si>
  <si>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</si>
  <si>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</si>
  <si>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</si>
  <si>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</si>
  <si>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</si>
  <si>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</si>
  <si>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</si>
  <si>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</si>
  <si>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</si>
  <si>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</si>
  <si>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</si>
  <si>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</si>
  <si>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</si>
  <si>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</si>
  <si>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</si>
  <si>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</si>
  <si>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</si>
  <si>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</si>
  <si>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</si>
  <si>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</si>
  <si>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</si>
  <si>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</si>
  <si>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</si>
  <si>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</si>
  <si>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</si>
  <si>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</si>
  <si>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</si>
  <si>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</si>
  <si>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</si>
  <si>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</si>
  <si>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</si>
  <si>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</si>
  <si>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</si>
  <si>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</si>
  <si>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</si>
  <si>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</si>
  <si>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</si>
  <si>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</si>
  <si>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</si>
  <si>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</si>
  <si>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</si>
  <si>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</si>
  <si>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</si>
  <si>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</si>
  <si>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</si>
  <si>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</si>
  <si>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</si>
  <si>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</si>
  <si>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</si>
  <si>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</si>
  <si>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</si>
  <si>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</si>
  <si>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</si>
  <si>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</si>
  <si>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</si>
  <si>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</si>
  <si>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</si>
  <si>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</si>
  <si>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</si>
  <si>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</si>
  <si>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</si>
  <si>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</si>
  <si>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</si>
  <si>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</si>
  <si>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</si>
  <si>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</si>
  <si>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</si>
  <si>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</si>
  <si>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</si>
  <si>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</si>
  <si>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</si>
  <si>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</si>
  <si>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</si>
  <si>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</si>
  <si>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</si>
  <si>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</si>
  <si>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</si>
  <si>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</si>
  <si>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</si>
  <si>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</si>
  <si>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</si>
  <si>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</si>
  <si>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</si>
  <si>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</si>
  <si>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</si>
  <si>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</si>
  <si>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</si>
  <si>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RYE SCHOOL DISTRICT</t>
  </si>
  <si>
    <t>Increase in Food Inventories</t>
  </si>
  <si>
    <t>12/96</t>
  </si>
  <si>
    <t>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</si>
</sst>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471</v>
      </c>
      <c r="C2" s="21">
        <v>47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162195.10999999999</v>
      </c>
      <c r="G9" s="18"/>
      <c r="H9" s="18"/>
      <c r="I9" s="18"/>
      <c r="J9" s="67">
        <f>SUM(I438)</f>
        <v>421611.01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21205.59</v>
      </c>
      <c r="G12" s="18">
        <v>3488.06</v>
      </c>
      <c r="H12" s="18">
        <v>21521.25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459.33</v>
      </c>
      <c r="G13" s="18">
        <v>4441.66</v>
      </c>
      <c r="H13" s="18">
        <v>21205.59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2047.85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183860.02999999997</v>
      </c>
      <c r="G19" s="41">
        <f>SUM(G9:G18)</f>
        <v>9977.57</v>
      </c>
      <c r="H19" s="41">
        <f>SUM(H9:H18)</f>
        <v>42726.84</v>
      </c>
      <c r="I19" s="41">
        <f>SUM(I9:I18)</f>
        <v>0</v>
      </c>
      <c r="J19" s="41">
        <f>SUM(J9:J18)</f>
        <v>421611.01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25009.31</v>
      </c>
      <c r="G22" s="18"/>
      <c r="H22" s="18">
        <v>21205.59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2559.36</v>
      </c>
      <c r="G23" s="18">
        <v>146.22</v>
      </c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10896.7</v>
      </c>
      <c r="G24" s="18">
        <v>299</v>
      </c>
      <c r="H24" s="18">
        <v>169.74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20521.38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58986.75</v>
      </c>
      <c r="G32" s="41">
        <f>SUM(G22:G31)</f>
        <v>445.22</v>
      </c>
      <c r="H32" s="41">
        <f>SUM(H22:H31)</f>
        <v>21375.33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2047.85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7484.5</v>
      </c>
      <c r="H47" s="18">
        <v>21351.51</v>
      </c>
      <c r="I47" s="18"/>
      <c r="J47" s="13">
        <f>SUM(I458)</f>
        <v>421611.01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124873.28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124873.28</v>
      </c>
      <c r="G50" s="41">
        <f>SUM(G35:G49)</f>
        <v>9532.35</v>
      </c>
      <c r="H50" s="41">
        <f>SUM(H35:H49)</f>
        <v>21351.51</v>
      </c>
      <c r="I50" s="41">
        <f>SUM(I35:I49)</f>
        <v>0</v>
      </c>
      <c r="J50" s="41">
        <f>SUM(J35:J49)</f>
        <v>421611.01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183860.03</v>
      </c>
      <c r="G51" s="41">
        <f>G50+G32</f>
        <v>9977.57</v>
      </c>
      <c r="H51" s="41">
        <f>H50+H32</f>
        <v>42726.84</v>
      </c>
      <c r="I51" s="41">
        <f>I50+I32</f>
        <v>0</v>
      </c>
      <c r="J51" s="41">
        <f>J50+J32</f>
        <v>421611.01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6874815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6874815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5000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335982.5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340982.5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379.89</v>
      </c>
      <c r="G95" s="18"/>
      <c r="H95" s="18"/>
      <c r="I95" s="18"/>
      <c r="J95" s="18">
        <v>321.77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152630.32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91313.96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360</v>
      </c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>
        <v>500</v>
      </c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5023.43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5763.3200000000006</v>
      </c>
      <c r="G110" s="41">
        <f>SUM(G95:G109)</f>
        <v>152630.32</v>
      </c>
      <c r="H110" s="41">
        <f>SUM(H95:H109)</f>
        <v>91813.96</v>
      </c>
      <c r="I110" s="41">
        <f>SUM(I95:I109)</f>
        <v>0</v>
      </c>
      <c r="J110" s="41">
        <f>SUM(J95:J109)</f>
        <v>321.77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7221560.8200000003</v>
      </c>
      <c r="G111" s="41">
        <f>G59+G110</f>
        <v>152630.32</v>
      </c>
      <c r="H111" s="41">
        <f>H59+H78+H93+H110</f>
        <v>91813.96</v>
      </c>
      <c r="I111" s="41">
        <f>I59+I110</f>
        <v>0</v>
      </c>
      <c r="J111" s="41">
        <f>J59+J110</f>
        <v>321.77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4256276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4256276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116411.55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2632.73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116411.55</v>
      </c>
      <c r="G135" s="41">
        <f>SUM(G122:G134)</f>
        <v>2632.73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4372687.55</v>
      </c>
      <c r="G139" s="41">
        <f>G120+SUM(G135:G136)</f>
        <v>2632.73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31620.18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107095.74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27352.799999999999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24893.19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24893.19</v>
      </c>
      <c r="G161" s="41">
        <f>SUM(G149:G160)</f>
        <v>27352.799999999999</v>
      </c>
      <c r="H161" s="41">
        <f>SUM(H149:H160)</f>
        <v>138715.92000000001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24893.19</v>
      </c>
      <c r="G168" s="41">
        <f>G146+G161+SUM(G162:G167)</f>
        <v>27352.799999999999</v>
      </c>
      <c r="H168" s="41">
        <f>H146+H161+SUM(H162:H167)</f>
        <v>138715.92000000001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>
        <v>10</v>
      </c>
      <c r="I178" s="18"/>
      <c r="J178" s="18">
        <v>100000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1797.36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1797.36</v>
      </c>
      <c r="G182" s="41">
        <f>SUM(G178:G181)</f>
        <v>0</v>
      </c>
      <c r="H182" s="41">
        <f>SUM(H178:H181)</f>
        <v>10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1797.36</v>
      </c>
      <c r="G191" s="41">
        <f>G182+SUM(G187:G190)</f>
        <v>0</v>
      </c>
      <c r="H191" s="41">
        <f>+H182+SUM(H187:H190)</f>
        <v>10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11620938.92</v>
      </c>
      <c r="G192" s="47">
        <f>G111+G139+G168+G191</f>
        <v>182615.85</v>
      </c>
      <c r="H192" s="47">
        <f>H111+H139+H168+H191</f>
        <v>230539.88</v>
      </c>
      <c r="I192" s="47">
        <f>I111+I139+I168+I191</f>
        <v>0</v>
      </c>
      <c r="J192" s="47">
        <f>J111+J139+J191</f>
        <v>100321.77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3189314.48</v>
      </c>
      <c r="G196" s="18">
        <v>1317997.28</v>
      </c>
      <c r="H196" s="18">
        <v>5371.89</v>
      </c>
      <c r="I196" s="18">
        <v>97957.96</v>
      </c>
      <c r="J196" s="18">
        <v>5529.49</v>
      </c>
      <c r="K196" s="18"/>
      <c r="L196" s="19">
        <f>SUM(F196:K196)</f>
        <v>4616171.0999999996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641727.56999999995</v>
      </c>
      <c r="G197" s="18">
        <v>265196.55</v>
      </c>
      <c r="H197" s="18">
        <v>32231.75</v>
      </c>
      <c r="I197" s="18">
        <v>2356.92</v>
      </c>
      <c r="J197" s="18">
        <v>889.48</v>
      </c>
      <c r="K197" s="18"/>
      <c r="L197" s="19">
        <f>SUM(F197:K197)</f>
        <v>942402.2699999999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61924.9</v>
      </c>
      <c r="G199" s="18">
        <v>4808.21</v>
      </c>
      <c r="H199" s="18">
        <v>33542.21</v>
      </c>
      <c r="I199" s="18">
        <v>2365.4499999999998</v>
      </c>
      <c r="J199" s="18"/>
      <c r="K199" s="18"/>
      <c r="L199" s="19">
        <f>SUM(F199:K199)</f>
        <v>102640.77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369742.65</v>
      </c>
      <c r="G201" s="18">
        <v>152797.67000000001</v>
      </c>
      <c r="H201" s="18">
        <v>18219.98</v>
      </c>
      <c r="I201" s="18">
        <v>3016.03</v>
      </c>
      <c r="J201" s="18">
        <v>804</v>
      </c>
      <c r="K201" s="18"/>
      <c r="L201" s="19">
        <f t="shared" ref="L201:L207" si="0">SUM(F201:K201)</f>
        <v>544580.33000000007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259341.79</v>
      </c>
      <c r="G202" s="18">
        <v>152627.06</v>
      </c>
      <c r="H202" s="18">
        <v>15990.09</v>
      </c>
      <c r="I202" s="18">
        <v>43388.88</v>
      </c>
      <c r="J202" s="18">
        <v>8292.26</v>
      </c>
      <c r="K202" s="18">
        <v>3614</v>
      </c>
      <c r="L202" s="19">
        <f t="shared" si="0"/>
        <v>483254.08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7740</v>
      </c>
      <c r="G203" s="18">
        <v>672.98</v>
      </c>
      <c r="H203" s="18">
        <v>466505.83</v>
      </c>
      <c r="I203" s="18">
        <v>1334.98</v>
      </c>
      <c r="J203" s="18"/>
      <c r="K203" s="18">
        <v>6356.87</v>
      </c>
      <c r="L203" s="19">
        <f t="shared" si="0"/>
        <v>482610.66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319158.2</v>
      </c>
      <c r="G204" s="18">
        <v>134233.43</v>
      </c>
      <c r="H204" s="18">
        <v>14604.91</v>
      </c>
      <c r="I204" s="18">
        <v>2252.56</v>
      </c>
      <c r="J204" s="18"/>
      <c r="K204" s="18">
        <v>485</v>
      </c>
      <c r="L204" s="19">
        <f t="shared" si="0"/>
        <v>470734.1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8232.4599999999991</v>
      </c>
      <c r="L205" s="19">
        <f t="shared" si="0"/>
        <v>8232.4599999999991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265007.24</v>
      </c>
      <c r="G206" s="18">
        <v>109515.33</v>
      </c>
      <c r="H206" s="18">
        <v>107196.55</v>
      </c>
      <c r="I206" s="18">
        <v>223877.6</v>
      </c>
      <c r="J206" s="18">
        <v>2732.06</v>
      </c>
      <c r="K206" s="18"/>
      <c r="L206" s="19">
        <f t="shared" si="0"/>
        <v>708328.78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236358.59</v>
      </c>
      <c r="I207" s="18"/>
      <c r="J207" s="18"/>
      <c r="K207" s="18"/>
      <c r="L207" s="19">
        <f t="shared" si="0"/>
        <v>236358.59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5221.99</v>
      </c>
      <c r="H208" s="18">
        <v>9620.67</v>
      </c>
      <c r="I208" s="18"/>
      <c r="J208" s="18"/>
      <c r="K208" s="18"/>
      <c r="L208" s="19">
        <f>SUM(F208:K208)</f>
        <v>14842.66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5113956.83</v>
      </c>
      <c r="G210" s="41">
        <f t="shared" si="1"/>
        <v>2143070.5</v>
      </c>
      <c r="H210" s="41">
        <f t="shared" si="1"/>
        <v>939642.47000000009</v>
      </c>
      <c r="I210" s="41">
        <f t="shared" si="1"/>
        <v>376550.38</v>
      </c>
      <c r="J210" s="41">
        <f t="shared" si="1"/>
        <v>18247.29</v>
      </c>
      <c r="K210" s="41">
        <f t="shared" si="1"/>
        <v>18688.329999999998</v>
      </c>
      <c r="L210" s="41">
        <f t="shared" si="1"/>
        <v>8610155.7999999989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2496392.2599999998</v>
      </c>
      <c r="I232" s="18"/>
      <c r="J232" s="18"/>
      <c r="K232" s="18"/>
      <c r="L232" s="19">
        <f>SUM(F232:K232)</f>
        <v>2496392.2599999998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61447.54</v>
      </c>
      <c r="I233" s="18"/>
      <c r="J233" s="18"/>
      <c r="K233" s="18"/>
      <c r="L233" s="19">
        <f>SUM(F233:K233)</f>
        <v>61447.54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>
        <v>7703.86</v>
      </c>
      <c r="I235" s="18"/>
      <c r="J235" s="18"/>
      <c r="K235" s="18"/>
      <c r="L235" s="19">
        <f>SUM(F235:K235)</f>
        <v>7703.86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860</v>
      </c>
      <c r="G239" s="18">
        <v>74.78</v>
      </c>
      <c r="H239" s="18">
        <v>51833.98</v>
      </c>
      <c r="I239" s="18">
        <v>148.33000000000001</v>
      </c>
      <c r="J239" s="18"/>
      <c r="K239" s="18">
        <v>706.31</v>
      </c>
      <c r="L239" s="19">
        <f t="shared" si="4"/>
        <v>53623.4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48524.15</v>
      </c>
      <c r="I243" s="18"/>
      <c r="J243" s="18"/>
      <c r="K243" s="18"/>
      <c r="L243" s="19">
        <f t="shared" si="4"/>
        <v>48524.15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860</v>
      </c>
      <c r="G246" s="41">
        <f t="shared" si="5"/>
        <v>74.78</v>
      </c>
      <c r="H246" s="41">
        <f t="shared" si="5"/>
        <v>2665901.7899999996</v>
      </c>
      <c r="I246" s="41">
        <f t="shared" si="5"/>
        <v>148.33000000000001</v>
      </c>
      <c r="J246" s="41">
        <f t="shared" si="5"/>
        <v>0</v>
      </c>
      <c r="K246" s="41">
        <f t="shared" si="5"/>
        <v>706.31</v>
      </c>
      <c r="L246" s="41">
        <f t="shared" si="5"/>
        <v>2667691.2099999995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5045</v>
      </c>
      <c r="I254" s="18"/>
      <c r="J254" s="18"/>
      <c r="K254" s="18"/>
      <c r="L254" s="19">
        <f t="shared" si="6"/>
        <v>5045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5045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5045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5114816.83</v>
      </c>
      <c r="G256" s="41">
        <f t="shared" si="8"/>
        <v>2143145.2799999998</v>
      </c>
      <c r="H256" s="41">
        <f t="shared" si="8"/>
        <v>3610589.26</v>
      </c>
      <c r="I256" s="41">
        <f t="shared" si="8"/>
        <v>376698.71</v>
      </c>
      <c r="J256" s="41">
        <f t="shared" si="8"/>
        <v>18247.29</v>
      </c>
      <c r="K256" s="41">
        <f t="shared" si="8"/>
        <v>19394.64</v>
      </c>
      <c r="L256" s="41">
        <f t="shared" si="8"/>
        <v>11282892.009999998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280000</v>
      </c>
      <c r="L259" s="19">
        <f>SUM(F259:K259)</f>
        <v>280000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92260</v>
      </c>
      <c r="L260" s="19">
        <f>SUM(F260:K260)</f>
        <v>92260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</v>
      </c>
      <c r="L263" s="19">
        <f t="shared" ref="L263:L269" si="9">SUM(F263:K263)</f>
        <v>10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472270</v>
      </c>
      <c r="L269" s="41">
        <f t="shared" si="9"/>
        <v>472270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5114816.83</v>
      </c>
      <c r="G270" s="42">
        <f t="shared" si="11"/>
        <v>2143145.2799999998</v>
      </c>
      <c r="H270" s="42">
        <f t="shared" si="11"/>
        <v>3610589.26</v>
      </c>
      <c r="I270" s="42">
        <f t="shared" si="11"/>
        <v>376698.71</v>
      </c>
      <c r="J270" s="42">
        <f t="shared" si="11"/>
        <v>18247.29</v>
      </c>
      <c r="K270" s="42">
        <f t="shared" si="11"/>
        <v>491664.64000000001</v>
      </c>
      <c r="L270" s="42">
        <f t="shared" si="11"/>
        <v>11755162.009999998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77122.990000000005</v>
      </c>
      <c r="G275" s="18">
        <v>12392.89</v>
      </c>
      <c r="H275" s="18">
        <v>1025.3800000000001</v>
      </c>
      <c r="I275" s="18">
        <v>2250.34</v>
      </c>
      <c r="J275" s="18">
        <v>884.4</v>
      </c>
      <c r="K275" s="18">
        <v>50</v>
      </c>
      <c r="L275" s="19">
        <f>SUM(F275:K275)</f>
        <v>93726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29787.5</v>
      </c>
      <c r="G276" s="18"/>
      <c r="H276" s="18"/>
      <c r="I276" s="18"/>
      <c r="J276" s="18"/>
      <c r="K276" s="18"/>
      <c r="L276" s="19">
        <f>SUM(F276:K276)</f>
        <v>29787.5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29755.22</v>
      </c>
      <c r="G278" s="18">
        <v>574</v>
      </c>
      <c r="H278" s="18">
        <v>29057.38</v>
      </c>
      <c r="I278" s="18">
        <v>13422.43</v>
      </c>
      <c r="J278" s="18">
        <v>295.99</v>
      </c>
      <c r="K278" s="18"/>
      <c r="L278" s="19">
        <f>SUM(F278:K278)</f>
        <v>73105.02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14730</v>
      </c>
      <c r="G281" s="18"/>
      <c r="H281" s="18">
        <v>2671.8</v>
      </c>
      <c r="I281" s="18">
        <v>2034.9</v>
      </c>
      <c r="J281" s="18">
        <v>11410.17</v>
      </c>
      <c r="K281" s="18"/>
      <c r="L281" s="19">
        <f t="shared" si="12"/>
        <v>30846.870000000003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1442.6</v>
      </c>
      <c r="L282" s="19">
        <f t="shared" si="12"/>
        <v>1442.6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439.15</v>
      </c>
      <c r="L284" s="19">
        <f t="shared" si="12"/>
        <v>439.15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>
        <v>5011</v>
      </c>
      <c r="K285" s="18"/>
      <c r="L285" s="19">
        <f t="shared" si="12"/>
        <v>5011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>
        <v>165</v>
      </c>
      <c r="I286" s="18"/>
      <c r="J286" s="18"/>
      <c r="K286" s="18"/>
      <c r="L286" s="19">
        <f t="shared" si="12"/>
        <v>165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>
        <v>1131</v>
      </c>
      <c r="I287" s="18"/>
      <c r="J287" s="18"/>
      <c r="K287" s="18"/>
      <c r="L287" s="19">
        <f>SUM(F287:K287)</f>
        <v>1131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151395.71000000002</v>
      </c>
      <c r="G289" s="42">
        <f t="shared" si="13"/>
        <v>12966.89</v>
      </c>
      <c r="H289" s="42">
        <f t="shared" si="13"/>
        <v>34050.559999999998</v>
      </c>
      <c r="I289" s="42">
        <f t="shared" si="13"/>
        <v>17707.670000000002</v>
      </c>
      <c r="J289" s="42">
        <f t="shared" si="13"/>
        <v>17601.559999999998</v>
      </c>
      <c r="K289" s="42">
        <f t="shared" si="13"/>
        <v>1931.75</v>
      </c>
      <c r="L289" s="41">
        <f t="shared" si="13"/>
        <v>235654.14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151395.71000000002</v>
      </c>
      <c r="G337" s="41">
        <f t="shared" si="20"/>
        <v>12966.89</v>
      </c>
      <c r="H337" s="41">
        <f t="shared" si="20"/>
        <v>34050.559999999998</v>
      </c>
      <c r="I337" s="41">
        <f t="shared" si="20"/>
        <v>17707.670000000002</v>
      </c>
      <c r="J337" s="41">
        <f t="shared" si="20"/>
        <v>17601.559999999998</v>
      </c>
      <c r="K337" s="41">
        <f t="shared" si="20"/>
        <v>1931.75</v>
      </c>
      <c r="L337" s="41">
        <f t="shared" si="20"/>
        <v>235654.14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1797.36</v>
      </c>
      <c r="L343" s="19">
        <f t="shared" ref="L343:L349" si="21">SUM(F343:K343)</f>
        <v>1797.36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1797.36</v>
      </c>
      <c r="L350" s="41">
        <f>SUM(L340:L349)</f>
        <v>1797.36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151395.71000000002</v>
      </c>
      <c r="G351" s="41">
        <f>G337</f>
        <v>12966.89</v>
      </c>
      <c r="H351" s="41">
        <f>H337</f>
        <v>34050.559999999998</v>
      </c>
      <c r="I351" s="41">
        <f>I337</f>
        <v>17707.670000000002</v>
      </c>
      <c r="J351" s="41">
        <f>J337</f>
        <v>17601.559999999998</v>
      </c>
      <c r="K351" s="47">
        <f>K337+K350</f>
        <v>3729.1099999999997</v>
      </c>
      <c r="L351" s="41">
        <f>L337+L350</f>
        <v>237451.5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75827.38</v>
      </c>
      <c r="G357" s="18">
        <v>31335.98</v>
      </c>
      <c r="H357" s="18">
        <v>6631.88</v>
      </c>
      <c r="I357" s="18">
        <v>74713.72</v>
      </c>
      <c r="J357" s="18"/>
      <c r="K357" s="18"/>
      <c r="L357" s="13">
        <f>SUM(F357:K357)</f>
        <v>188508.96000000002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75827.38</v>
      </c>
      <c r="G361" s="47">
        <f t="shared" si="22"/>
        <v>31335.98</v>
      </c>
      <c r="H361" s="47">
        <f t="shared" si="22"/>
        <v>6631.88</v>
      </c>
      <c r="I361" s="47">
        <f t="shared" si="22"/>
        <v>74713.72</v>
      </c>
      <c r="J361" s="47">
        <f t="shared" si="22"/>
        <v>0</v>
      </c>
      <c r="K361" s="47">
        <f t="shared" si="22"/>
        <v>0</v>
      </c>
      <c r="L361" s="47">
        <f t="shared" si="22"/>
        <v>188508.96000000002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68522.64</v>
      </c>
      <c r="G366" s="18"/>
      <c r="H366" s="18"/>
      <c r="I366" s="56">
        <f>SUM(F366:H366)</f>
        <v>68522.64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6191.08</v>
      </c>
      <c r="G367" s="63"/>
      <c r="H367" s="63"/>
      <c r="I367" s="56">
        <f>SUM(F367:H367)</f>
        <v>6191.08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74713.72</v>
      </c>
      <c r="G368" s="47">
        <f>SUM(G366:G367)</f>
        <v>0</v>
      </c>
      <c r="H368" s="47">
        <f>SUM(H366:H367)</f>
        <v>0</v>
      </c>
      <c r="I368" s="47">
        <f>SUM(I366:I367)</f>
        <v>74713.72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162.21</v>
      </c>
      <c r="I395" s="18"/>
      <c r="J395" s="24" t="s">
        <v>289</v>
      </c>
      <c r="K395" s="24" t="s">
        <v>289</v>
      </c>
      <c r="L395" s="56">
        <f t="shared" si="26"/>
        <v>162.21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89.77</v>
      </c>
      <c r="I396" s="18"/>
      <c r="J396" s="24" t="s">
        <v>289</v>
      </c>
      <c r="K396" s="24" t="s">
        <v>289</v>
      </c>
      <c r="L396" s="56">
        <f t="shared" si="26"/>
        <v>89.77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100000</v>
      </c>
      <c r="H397" s="18">
        <v>69.790000000000006</v>
      </c>
      <c r="I397" s="18"/>
      <c r="J397" s="24" t="s">
        <v>289</v>
      </c>
      <c r="K397" s="24" t="s">
        <v>289</v>
      </c>
      <c r="L397" s="56">
        <f t="shared" si="26"/>
        <v>100069.79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100000</v>
      </c>
      <c r="H400" s="47">
        <f>SUM(H394:H399)</f>
        <v>321.77000000000004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100321.76999999999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321.77000000000004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100321.76999999999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>
        <v>18760</v>
      </c>
      <c r="K421" s="18"/>
      <c r="L421" s="56">
        <f t="shared" si="29"/>
        <v>18760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18760</v>
      </c>
      <c r="K426" s="47">
        <f t="shared" si="30"/>
        <v>0</v>
      </c>
      <c r="L426" s="47">
        <f t="shared" si="30"/>
        <v>18760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18760</v>
      </c>
      <c r="K433" s="47">
        <f t="shared" si="32"/>
        <v>0</v>
      </c>
      <c r="L433" s="47">
        <f t="shared" si="32"/>
        <v>18760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421611.01</v>
      </c>
      <c r="H438" s="18"/>
      <c r="I438" s="56">
        <f t="shared" ref="I438:I444" si="33">SUM(F438:H438)</f>
        <v>421611.01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421611.01</v>
      </c>
      <c r="H445" s="13">
        <f>SUM(H438:H444)</f>
        <v>0</v>
      </c>
      <c r="I445" s="13">
        <f>SUM(I438:I444)</f>
        <v>421611.01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421611.01</v>
      </c>
      <c r="H458" s="18"/>
      <c r="I458" s="56">
        <f t="shared" si="34"/>
        <v>421611.01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421611.01</v>
      </c>
      <c r="H459" s="83">
        <f>SUM(H453:H458)</f>
        <v>0</v>
      </c>
      <c r="I459" s="83">
        <f>SUM(I453:I458)</f>
        <v>421611.01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421611.01</v>
      </c>
      <c r="H460" s="42">
        <f>H451+H459</f>
        <v>0</v>
      </c>
      <c r="I460" s="42">
        <f>I451+I459</f>
        <v>421611.01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259096.37</v>
      </c>
      <c r="G464" s="18">
        <v>15216.45</v>
      </c>
      <c r="H464" s="18">
        <v>28263.13</v>
      </c>
      <c r="I464" s="18"/>
      <c r="J464" s="18">
        <v>340049.24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11620938.92</v>
      </c>
      <c r="G467" s="18">
        <v>182615.85</v>
      </c>
      <c r="H467" s="18">
        <v>230539.88</v>
      </c>
      <c r="I467" s="18"/>
      <c r="J467" s="18">
        <v>100321.77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209.01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11620938.92</v>
      </c>
      <c r="G469" s="53">
        <f>SUM(G467:G468)</f>
        <v>182824.86000000002</v>
      </c>
      <c r="H469" s="53">
        <f>SUM(H467:H468)</f>
        <v>230539.88</v>
      </c>
      <c r="I469" s="53">
        <f>SUM(I467:I468)</f>
        <v>0</v>
      </c>
      <c r="J469" s="53">
        <f>SUM(J467:J468)</f>
        <v>100321.77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11755162.01</v>
      </c>
      <c r="G471" s="18">
        <v>188508.96</v>
      </c>
      <c r="H471" s="18">
        <v>237451.5</v>
      </c>
      <c r="I471" s="18"/>
      <c r="J471" s="18">
        <v>18760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11755162.01</v>
      </c>
      <c r="G473" s="53">
        <f>SUM(G471:G472)</f>
        <v>188508.96</v>
      </c>
      <c r="H473" s="53">
        <f>SUM(H471:H472)</f>
        <v>237451.5</v>
      </c>
      <c r="I473" s="53">
        <f>SUM(I471:I472)</f>
        <v>0</v>
      </c>
      <c r="J473" s="53">
        <f>SUM(J471:J472)</f>
        <v>18760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124873.27999999933</v>
      </c>
      <c r="G475" s="53">
        <f>(G464+G469)- G473</f>
        <v>9532.3500000000349</v>
      </c>
      <c r="H475" s="53">
        <f>(H464+H469)- H473</f>
        <v>21351.510000000009</v>
      </c>
      <c r="I475" s="53">
        <f>(I464+I469)- I473</f>
        <v>0</v>
      </c>
      <c r="J475" s="53">
        <f>(J464+J469)- J473</f>
        <v>421611.01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8844720.8000000007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5.45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1680000</v>
      </c>
      <c r="G494" s="18"/>
      <c r="H494" s="18"/>
      <c r="I494" s="18"/>
      <c r="J494" s="18"/>
      <c r="K494" s="53">
        <f>SUM(F494:J494)</f>
        <v>1680000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280000</v>
      </c>
      <c r="G496" s="18"/>
      <c r="H496" s="18"/>
      <c r="I496" s="18"/>
      <c r="J496" s="18"/>
      <c r="K496" s="53">
        <f t="shared" si="35"/>
        <v>280000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1400000</v>
      </c>
      <c r="G497" s="205"/>
      <c r="H497" s="205"/>
      <c r="I497" s="205"/>
      <c r="J497" s="205"/>
      <c r="K497" s="206">
        <f t="shared" si="35"/>
        <v>1400000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231000</v>
      </c>
      <c r="G498" s="18"/>
      <c r="H498" s="18"/>
      <c r="I498" s="18"/>
      <c r="J498" s="18"/>
      <c r="K498" s="53">
        <f t="shared" si="35"/>
        <v>231000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1631000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1631000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280000</v>
      </c>
      <c r="G500" s="205"/>
      <c r="H500" s="205"/>
      <c r="I500" s="205"/>
      <c r="J500" s="205"/>
      <c r="K500" s="206">
        <f t="shared" si="35"/>
        <v>280000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77000</v>
      </c>
      <c r="G501" s="18"/>
      <c r="H501" s="18"/>
      <c r="I501" s="18"/>
      <c r="J501" s="18"/>
      <c r="K501" s="53">
        <f t="shared" si="35"/>
        <v>77000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357000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357000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621308.56999999995</v>
      </c>
      <c r="G520" s="18">
        <v>254835.6</v>
      </c>
      <c r="H520" s="18">
        <v>31727.360000000001</v>
      </c>
      <c r="I520" s="18">
        <v>2356.92</v>
      </c>
      <c r="J520" s="18">
        <v>889.48</v>
      </c>
      <c r="K520" s="18"/>
      <c r="L520" s="88">
        <f>SUM(F520:K520)</f>
        <v>911117.92999999993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26403.24</v>
      </c>
      <c r="G522" s="18">
        <v>10935.33</v>
      </c>
      <c r="H522" s="18">
        <v>68151.399999999994</v>
      </c>
      <c r="I522" s="18"/>
      <c r="J522" s="18"/>
      <c r="K522" s="18"/>
      <c r="L522" s="88">
        <f>SUM(F522:K522)</f>
        <v>105489.97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647711.80999999994</v>
      </c>
      <c r="G523" s="108">
        <f t="shared" ref="G523:L523" si="36">SUM(G520:G522)</f>
        <v>265770.93</v>
      </c>
      <c r="H523" s="108">
        <f t="shared" si="36"/>
        <v>99878.76</v>
      </c>
      <c r="I523" s="108">
        <f t="shared" si="36"/>
        <v>2356.92</v>
      </c>
      <c r="J523" s="108">
        <f t="shared" si="36"/>
        <v>889.48</v>
      </c>
      <c r="K523" s="108">
        <f t="shared" si="36"/>
        <v>0</v>
      </c>
      <c r="L523" s="89">
        <f t="shared" si="36"/>
        <v>1016607.8999999999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189313</v>
      </c>
      <c r="G525" s="18">
        <v>78234.38</v>
      </c>
      <c r="H525" s="18">
        <v>12272.26</v>
      </c>
      <c r="I525" s="18">
        <v>867.87</v>
      </c>
      <c r="J525" s="18"/>
      <c r="K525" s="18"/>
      <c r="L525" s="88">
        <f>SUM(F525:K525)</f>
        <v>280687.51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189313</v>
      </c>
      <c r="G528" s="89">
        <f t="shared" ref="G528:L528" si="37">SUM(G525:G527)</f>
        <v>78234.38</v>
      </c>
      <c r="H528" s="89">
        <f t="shared" si="37"/>
        <v>12272.26</v>
      </c>
      <c r="I528" s="89">
        <f t="shared" si="37"/>
        <v>867.87</v>
      </c>
      <c r="J528" s="89">
        <f t="shared" si="37"/>
        <v>0</v>
      </c>
      <c r="K528" s="89">
        <f t="shared" si="37"/>
        <v>0</v>
      </c>
      <c r="L528" s="89">
        <f t="shared" si="37"/>
        <v>280687.51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37291.51</v>
      </c>
      <c r="G530" s="18">
        <v>12786.1</v>
      </c>
      <c r="H530" s="18">
        <v>3649.25</v>
      </c>
      <c r="I530" s="18">
        <v>1181.49</v>
      </c>
      <c r="J530" s="18">
        <v>423.5</v>
      </c>
      <c r="K530" s="18">
        <v>602.45000000000005</v>
      </c>
      <c r="L530" s="88">
        <f>SUM(F530:K530)</f>
        <v>55934.299999999996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16252.07</v>
      </c>
      <c r="G532" s="18">
        <v>5479.76</v>
      </c>
      <c r="H532" s="18">
        <v>1563.96</v>
      </c>
      <c r="I532" s="18">
        <v>506.35</v>
      </c>
      <c r="J532" s="18">
        <v>181.5</v>
      </c>
      <c r="K532" s="18">
        <v>258.19</v>
      </c>
      <c r="L532" s="88">
        <f>SUM(F532:K532)</f>
        <v>24241.829999999998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53543.58</v>
      </c>
      <c r="G533" s="89">
        <f t="shared" ref="G533:L533" si="38">SUM(G530:G532)</f>
        <v>18265.86</v>
      </c>
      <c r="H533" s="89">
        <f t="shared" si="38"/>
        <v>5213.21</v>
      </c>
      <c r="I533" s="89">
        <f t="shared" si="38"/>
        <v>1687.8400000000001</v>
      </c>
      <c r="J533" s="89">
        <f t="shared" si="38"/>
        <v>605</v>
      </c>
      <c r="K533" s="89">
        <f t="shared" si="38"/>
        <v>860.6400000000001</v>
      </c>
      <c r="L533" s="89">
        <f t="shared" si="38"/>
        <v>80176.12999999999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996.1</v>
      </c>
      <c r="I535" s="18"/>
      <c r="J535" s="18"/>
      <c r="K535" s="18"/>
      <c r="L535" s="88">
        <f>SUM(F535:K535)</f>
        <v>996.1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996.1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996.1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15302.47</v>
      </c>
      <c r="I540" s="18"/>
      <c r="J540" s="18"/>
      <c r="K540" s="18"/>
      <c r="L540" s="88">
        <f>SUM(F540:K540)</f>
        <v>15302.47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12687.8</v>
      </c>
      <c r="I542" s="18"/>
      <c r="J542" s="18"/>
      <c r="K542" s="18"/>
      <c r="L542" s="88">
        <f>SUM(F542:K542)</f>
        <v>12687.8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27990.269999999997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27990.269999999997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890568.3899999999</v>
      </c>
      <c r="G544" s="89">
        <f t="shared" ref="G544:L544" si="41">G523+G528+G533+G538+G543</f>
        <v>362271.17</v>
      </c>
      <c r="H544" s="89">
        <f t="shared" si="41"/>
        <v>146350.6</v>
      </c>
      <c r="I544" s="89">
        <f t="shared" si="41"/>
        <v>4912.63</v>
      </c>
      <c r="J544" s="89">
        <f t="shared" si="41"/>
        <v>1494.48</v>
      </c>
      <c r="K544" s="89">
        <f t="shared" si="41"/>
        <v>860.6400000000001</v>
      </c>
      <c r="L544" s="89">
        <f t="shared" si="41"/>
        <v>1406457.91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911117.92999999993</v>
      </c>
      <c r="G548" s="87">
        <f>L525</f>
        <v>280687.51</v>
      </c>
      <c r="H548" s="87">
        <f>L530</f>
        <v>55934.299999999996</v>
      </c>
      <c r="I548" s="87">
        <f>L535</f>
        <v>996.1</v>
      </c>
      <c r="J548" s="87">
        <f>L540</f>
        <v>15302.47</v>
      </c>
      <c r="K548" s="87">
        <f>SUM(F548:J548)</f>
        <v>1264038.31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105489.97</v>
      </c>
      <c r="G550" s="87">
        <f>L527</f>
        <v>0</v>
      </c>
      <c r="H550" s="87">
        <f>L532</f>
        <v>24241.829999999998</v>
      </c>
      <c r="I550" s="87">
        <f>L537</f>
        <v>0</v>
      </c>
      <c r="J550" s="87">
        <f>L542</f>
        <v>12687.8</v>
      </c>
      <c r="K550" s="87">
        <f>SUM(F550:J550)</f>
        <v>142419.6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1016607.8999999999</v>
      </c>
      <c r="G551" s="89">
        <f t="shared" si="42"/>
        <v>280687.51</v>
      </c>
      <c r="H551" s="89">
        <f t="shared" si="42"/>
        <v>80176.12999999999</v>
      </c>
      <c r="I551" s="89">
        <f t="shared" si="42"/>
        <v>996.1</v>
      </c>
      <c r="J551" s="89">
        <f t="shared" si="42"/>
        <v>27990.269999999997</v>
      </c>
      <c r="K551" s="89">
        <f t="shared" si="42"/>
        <v>1406457.9100000001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713.16</v>
      </c>
      <c r="G561" s="18">
        <v>294.63</v>
      </c>
      <c r="H561" s="18">
        <v>2555.5300000000002</v>
      </c>
      <c r="I561" s="18"/>
      <c r="J561" s="18"/>
      <c r="K561" s="18"/>
      <c r="L561" s="88">
        <f>SUM(F561:K561)</f>
        <v>3563.32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713.16</v>
      </c>
      <c r="G564" s="89">
        <f t="shared" si="44"/>
        <v>294.63</v>
      </c>
      <c r="H564" s="89">
        <f t="shared" si="44"/>
        <v>2555.5300000000002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3563.32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713.16</v>
      </c>
      <c r="G570" s="89">
        <f t="shared" ref="G570:L570" si="46">G559+G564+G569</f>
        <v>294.63</v>
      </c>
      <c r="H570" s="89">
        <f t="shared" si="46"/>
        <v>2555.5300000000002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3563.32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2496392.2599999998</v>
      </c>
      <c r="I574" s="87">
        <f>SUM(F574:H574)</f>
        <v>2496392.2599999998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675</v>
      </c>
      <c r="G578" s="18"/>
      <c r="H578" s="18">
        <v>31163.59</v>
      </c>
      <c r="I578" s="87">
        <f t="shared" si="47"/>
        <v>31838.59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18354.72</v>
      </c>
      <c r="G581" s="18"/>
      <c r="H581" s="18">
        <v>31649</v>
      </c>
      <c r="I581" s="87">
        <f t="shared" si="47"/>
        <v>50003.72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203072.65</v>
      </c>
      <c r="I590" s="18"/>
      <c r="J590" s="18">
        <v>35836.35</v>
      </c>
      <c r="K590" s="104">
        <f t="shared" ref="K590:K596" si="48">SUM(H590:J590)</f>
        <v>238909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15302.47</v>
      </c>
      <c r="I591" s="18"/>
      <c r="J591" s="18">
        <v>12687.8</v>
      </c>
      <c r="K591" s="104">
        <f t="shared" si="48"/>
        <v>27990.269999999997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4937.04</v>
      </c>
      <c r="I593" s="18"/>
      <c r="J593" s="18"/>
      <c r="K593" s="104">
        <f t="shared" si="48"/>
        <v>4937.04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13046.43</v>
      </c>
      <c r="I594" s="18"/>
      <c r="J594" s="18"/>
      <c r="K594" s="104">
        <f t="shared" si="48"/>
        <v>13046.43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236358.59</v>
      </c>
      <c r="I597" s="108">
        <f>SUM(I590:I596)</f>
        <v>0</v>
      </c>
      <c r="J597" s="108">
        <f>SUM(J590:J596)</f>
        <v>48524.149999999994</v>
      </c>
      <c r="K597" s="108">
        <f>SUM(K590:K596)</f>
        <v>284882.74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35848.85</v>
      </c>
      <c r="I603" s="18"/>
      <c r="J603" s="18"/>
      <c r="K603" s="104">
        <f>SUM(H603:J603)</f>
        <v>35848.85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35848.85</v>
      </c>
      <c r="I604" s="108">
        <f>SUM(I601:I603)</f>
        <v>0</v>
      </c>
      <c r="J604" s="108">
        <f>SUM(J601:J603)</f>
        <v>0</v>
      </c>
      <c r="K604" s="108">
        <f>SUM(K601:K603)</f>
        <v>35848.85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7397.4</v>
      </c>
      <c r="G610" s="18">
        <v>574.34</v>
      </c>
      <c r="H610" s="18">
        <v>3047.24</v>
      </c>
      <c r="I610" s="18"/>
      <c r="J610" s="18"/>
      <c r="K610" s="18"/>
      <c r="L610" s="88">
        <f>SUM(F610:K610)</f>
        <v>11018.98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7703.86</v>
      </c>
      <c r="I612" s="18"/>
      <c r="J612" s="18"/>
      <c r="K612" s="18"/>
      <c r="L612" s="88">
        <f>SUM(F612:K612)</f>
        <v>7703.86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7397.4</v>
      </c>
      <c r="G613" s="108">
        <f t="shared" si="49"/>
        <v>574.34</v>
      </c>
      <c r="H613" s="108">
        <f t="shared" si="49"/>
        <v>10751.099999999999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18722.84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183860.02999999997</v>
      </c>
      <c r="H616" s="109">
        <f>SUM(F51)</f>
        <v>183860.03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9977.57</v>
      </c>
      <c r="H617" s="109">
        <f>SUM(G51)</f>
        <v>9977.57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42726.84</v>
      </c>
      <c r="H618" s="109">
        <f>SUM(H51)</f>
        <v>42726.84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421611.01</v>
      </c>
      <c r="H620" s="109">
        <f>SUM(J51)</f>
        <v>421611.01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124873.28</v>
      </c>
      <c r="H621" s="109">
        <f>F475</f>
        <v>124873.27999999933</v>
      </c>
      <c r="I621" s="121" t="s">
        <v>101</v>
      </c>
      <c r="J621" s="109">
        <f t="shared" ref="J621:J654" si="50">G621-H621</f>
        <v>6.6938810050487518E-10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9532.35</v>
      </c>
      <c r="H622" s="109">
        <f>G475</f>
        <v>9532.3500000000349</v>
      </c>
      <c r="I622" s="121" t="s">
        <v>102</v>
      </c>
      <c r="J622" s="109">
        <f t="shared" si="50"/>
        <v>-3.4560798667371273E-11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21351.51</v>
      </c>
      <c r="H623" s="109">
        <f>H475</f>
        <v>21351.510000000009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421611.01</v>
      </c>
      <c r="H625" s="109">
        <f>J475</f>
        <v>421611.01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11620938.92</v>
      </c>
      <c r="H626" s="104">
        <f>SUM(F467)</f>
        <v>11620938.92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182615.85</v>
      </c>
      <c r="H627" s="104">
        <f>SUM(G467)</f>
        <v>182615.85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230539.88</v>
      </c>
      <c r="H628" s="104">
        <f>SUM(H467)</f>
        <v>230539.88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100321.77</v>
      </c>
      <c r="H630" s="104">
        <f>SUM(J467)</f>
        <v>100321.77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11755162.009999998</v>
      </c>
      <c r="H631" s="104">
        <f>SUM(F471)</f>
        <v>11755162.01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237451.5</v>
      </c>
      <c r="H632" s="104">
        <f>SUM(H471)</f>
        <v>237451.5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74713.72</v>
      </c>
      <c r="H633" s="104">
        <f>I368</f>
        <v>74713.72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188508.96000000002</v>
      </c>
      <c r="H634" s="104">
        <f>SUM(G471)</f>
        <v>188508.96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100321.76999999999</v>
      </c>
      <c r="H636" s="164">
        <f>SUM(J467)</f>
        <v>100321.77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18760</v>
      </c>
      <c r="H637" s="164">
        <f>SUM(J471)</f>
        <v>18760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421611.01</v>
      </c>
      <c r="H639" s="104">
        <f>SUM(G460)</f>
        <v>421611.01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421611.01</v>
      </c>
      <c r="H641" s="104">
        <f>SUM(I460)</f>
        <v>421611.01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321.77</v>
      </c>
      <c r="H643" s="104">
        <f>H407</f>
        <v>321.77000000000004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100321.77</v>
      </c>
      <c r="H645" s="104">
        <f>L407</f>
        <v>100321.76999999999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284882.74</v>
      </c>
      <c r="H646" s="104">
        <f>L207+L225+L243</f>
        <v>284882.74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35848.85</v>
      </c>
      <c r="H647" s="104">
        <f>(J256+J337)-(J254+J335)</f>
        <v>35848.85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236358.59</v>
      </c>
      <c r="H648" s="104">
        <f>H597</f>
        <v>236358.59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48524.15</v>
      </c>
      <c r="H650" s="104">
        <f>J597</f>
        <v>48524.149999999994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10</v>
      </c>
      <c r="H652" s="104">
        <f>K263</f>
        <v>10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9034318.9000000004</v>
      </c>
      <c r="G659" s="19">
        <f>(L228+L308+L358)</f>
        <v>0</v>
      </c>
      <c r="H659" s="19">
        <f>(L246+L327+L359)</f>
        <v>2667691.2099999995</v>
      </c>
      <c r="I659" s="19">
        <f>SUM(F659:H659)</f>
        <v>11702010.109999999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152630.32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152630.32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236523.59</v>
      </c>
      <c r="G661" s="19">
        <f>(L225+L305)-(J225+J305)</f>
        <v>0</v>
      </c>
      <c r="H661" s="19">
        <f>(L243+L324)-(J243+J324)</f>
        <v>48524.15</v>
      </c>
      <c r="I661" s="19">
        <f>SUM(F661:H661)</f>
        <v>285047.74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65897.55</v>
      </c>
      <c r="G662" s="200">
        <f>SUM(G574:G586)+SUM(I601:I603)+L611</f>
        <v>0</v>
      </c>
      <c r="H662" s="200">
        <f>SUM(H574:H586)+SUM(J601:J603)+L612</f>
        <v>2566908.7099999995</v>
      </c>
      <c r="I662" s="19">
        <f>SUM(F662:H662)</f>
        <v>2632806.2599999993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8579267.4399999995</v>
      </c>
      <c r="G663" s="19">
        <f>G659-SUM(G660:G662)</f>
        <v>0</v>
      </c>
      <c r="H663" s="19">
        <f>H659-SUM(H660:H662)</f>
        <v>52258.350000000093</v>
      </c>
      <c r="I663" s="19">
        <f>I659-SUM(I660:I662)</f>
        <v>8631525.7899999991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543.11</v>
      </c>
      <c r="G664" s="249"/>
      <c r="H664" s="249"/>
      <c r="I664" s="19">
        <f>SUM(F664:H664)</f>
        <v>543.11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15796.56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15892.78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-52258.35</v>
      </c>
      <c r="I668" s="19">
        <f>SUM(F668:H668)</f>
        <v>-52258.35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15796.56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15796.56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RYE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3266437.47</v>
      </c>
      <c r="C9" s="230">
        <f>'DOE25'!G196+'DOE25'!G214+'DOE25'!G232+'DOE25'!G275+'DOE25'!G294+'DOE25'!G313</f>
        <v>1330390.17</v>
      </c>
    </row>
    <row r="10" spans="1:3">
      <c r="A10" t="s">
        <v>779</v>
      </c>
      <c r="B10" s="241">
        <v>3034804.46</v>
      </c>
      <c r="C10" s="241">
        <v>1236065.51</v>
      </c>
    </row>
    <row r="11" spans="1:3">
      <c r="A11" t="s">
        <v>780</v>
      </c>
      <c r="B11" s="241">
        <v>139878.49</v>
      </c>
      <c r="C11" s="241">
        <v>56940.7</v>
      </c>
    </row>
    <row r="12" spans="1:3">
      <c r="A12" t="s">
        <v>781</v>
      </c>
      <c r="B12" s="241">
        <v>91754.52</v>
      </c>
      <c r="C12" s="241">
        <v>37383.96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3266437.47</v>
      </c>
      <c r="C13" s="232">
        <f>SUM(C10:C12)</f>
        <v>1330390.17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671515.07</v>
      </c>
      <c r="C18" s="230">
        <f>'DOE25'!G197+'DOE25'!G215+'DOE25'!G233+'DOE25'!G276+'DOE25'!G295+'DOE25'!G314</f>
        <v>265196.55</v>
      </c>
    </row>
    <row r="19" spans="1:3">
      <c r="A19" t="s">
        <v>779</v>
      </c>
      <c r="B19" s="241">
        <v>410227.5</v>
      </c>
      <c r="C19" s="241">
        <v>162008.57</v>
      </c>
    </row>
    <row r="20" spans="1:3">
      <c r="A20" t="s">
        <v>780</v>
      </c>
      <c r="B20" s="241">
        <v>181285.41</v>
      </c>
      <c r="C20" s="241">
        <v>71603.070000000007</v>
      </c>
    </row>
    <row r="21" spans="1:3">
      <c r="A21" t="s">
        <v>781</v>
      </c>
      <c r="B21" s="241">
        <v>80002.16</v>
      </c>
      <c r="C21" s="241">
        <v>31584.91</v>
      </c>
    </row>
    <row r="22" spans="1:3">
      <c r="A22" t="str">
        <f>IF(B18=B22,IF(C18=C22,"Check Total OK","Check Total Error"),"Check Total Error")</f>
        <v>Check Total OK</v>
      </c>
      <c r="B22" s="232">
        <f>SUM(B19:B21)</f>
        <v>671515.07000000007</v>
      </c>
      <c r="C22" s="232">
        <f>SUM(C19:C21)</f>
        <v>265196.55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91680.12</v>
      </c>
      <c r="C36" s="236">
        <f>'DOE25'!G199+'DOE25'!G217+'DOE25'!G235+'DOE25'!G278+'DOE25'!G297+'DOE25'!G316</f>
        <v>5382.21</v>
      </c>
    </row>
    <row r="37" spans="1:3">
      <c r="A37" t="s">
        <v>779</v>
      </c>
      <c r="B37" s="241">
        <v>6602.4</v>
      </c>
      <c r="C37" s="241">
        <v>391.82</v>
      </c>
    </row>
    <row r="38" spans="1:3">
      <c r="A38" t="s">
        <v>780</v>
      </c>
      <c r="B38" s="241">
        <v>795</v>
      </c>
      <c r="C38" s="241">
        <v>46.83</v>
      </c>
    </row>
    <row r="39" spans="1:3">
      <c r="A39" t="s">
        <v>781</v>
      </c>
      <c r="B39" s="241">
        <v>84282.72</v>
      </c>
      <c r="C39" s="241">
        <v>4943.5600000000004</v>
      </c>
    </row>
    <row r="40" spans="1:3">
      <c r="A40" t="str">
        <f>IF(B36=B40,IF(C36=C40,"Check Total OK","Check Total Error"),"Check Total Error")</f>
        <v>Check Total OK</v>
      </c>
      <c r="B40" s="232">
        <f>SUM(B37:B39)</f>
        <v>91680.12</v>
      </c>
      <c r="C40" s="232">
        <f>SUM(C37:C39)</f>
        <v>5382.21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2" activePane="bottomLeft" state="frozen"/>
      <selection pane="bottomLeft" activeCell="D9" sqref="D9:E9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RYE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8226757.7999999989</v>
      </c>
      <c r="D5" s="20">
        <f>SUM('DOE25'!L196:L199)+SUM('DOE25'!L214:L217)+SUM('DOE25'!L232:L235)-F5-G5</f>
        <v>8220338.8299999991</v>
      </c>
      <c r="E5" s="244"/>
      <c r="F5" s="256">
        <f>SUM('DOE25'!J196:J199)+SUM('DOE25'!J214:J217)+SUM('DOE25'!J232:J235)</f>
        <v>6418.9699999999993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544580.33000000007</v>
      </c>
      <c r="D6" s="20">
        <f>'DOE25'!L201+'DOE25'!L219+'DOE25'!L237-F6-G6</f>
        <v>543776.33000000007</v>
      </c>
      <c r="E6" s="244"/>
      <c r="F6" s="256">
        <f>'DOE25'!J201+'DOE25'!J219+'DOE25'!J237</f>
        <v>804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483254.08</v>
      </c>
      <c r="D7" s="20">
        <f>'DOE25'!L202+'DOE25'!L220+'DOE25'!L238-F7-G7</f>
        <v>471347.82</v>
      </c>
      <c r="E7" s="244"/>
      <c r="F7" s="256">
        <f>'DOE25'!J202+'DOE25'!J220+'DOE25'!J238</f>
        <v>8292.26</v>
      </c>
      <c r="G7" s="53">
        <f>'DOE25'!K202+'DOE25'!K220+'DOE25'!K238</f>
        <v>3614</v>
      </c>
      <c r="H7" s="260"/>
    </row>
    <row r="8" spans="1:9">
      <c r="A8" s="32">
        <v>2300</v>
      </c>
      <c r="B8" t="s">
        <v>802</v>
      </c>
      <c r="C8" s="246">
        <f t="shared" si="0"/>
        <v>297223.99999999988</v>
      </c>
      <c r="D8" s="244"/>
      <c r="E8" s="20">
        <f>'DOE25'!L203+'DOE25'!L221+'DOE25'!L239-F8-G8-D9-D11</f>
        <v>290160.81999999989</v>
      </c>
      <c r="F8" s="256">
        <f>'DOE25'!J203+'DOE25'!J221+'DOE25'!J239</f>
        <v>0</v>
      </c>
      <c r="G8" s="53">
        <f>'DOE25'!K203+'DOE25'!K221+'DOE25'!K239</f>
        <v>7063.18</v>
      </c>
      <c r="H8" s="260"/>
    </row>
    <row r="9" spans="1:9">
      <c r="A9" s="32">
        <v>2310</v>
      </c>
      <c r="B9" t="s">
        <v>818</v>
      </c>
      <c r="C9" s="246">
        <f t="shared" si="0"/>
        <v>36719.06</v>
      </c>
      <c r="D9" s="245">
        <v>36719.06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7450</v>
      </c>
      <c r="D10" s="244"/>
      <c r="E10" s="245">
        <v>7450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202291</v>
      </c>
      <c r="D11" s="245">
        <v>202291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470734.1</v>
      </c>
      <c r="D12" s="20">
        <f>'DOE25'!L204+'DOE25'!L222+'DOE25'!L240-F12-G12</f>
        <v>470249.1</v>
      </c>
      <c r="E12" s="244"/>
      <c r="F12" s="256">
        <f>'DOE25'!J204+'DOE25'!J222+'DOE25'!J240</f>
        <v>0</v>
      </c>
      <c r="G12" s="53">
        <f>'DOE25'!K204+'DOE25'!K222+'DOE25'!K240</f>
        <v>485</v>
      </c>
      <c r="H12" s="260"/>
    </row>
    <row r="13" spans="1:9">
      <c r="A13" s="32">
        <v>2500</v>
      </c>
      <c r="B13" t="s">
        <v>803</v>
      </c>
      <c r="C13" s="246">
        <f t="shared" si="0"/>
        <v>8232.4599999999991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8232.4599999999991</v>
      </c>
      <c r="H13" s="260"/>
    </row>
    <row r="14" spans="1:9">
      <c r="A14" s="32">
        <v>2600</v>
      </c>
      <c r="B14" t="s">
        <v>832</v>
      </c>
      <c r="C14" s="246">
        <f t="shared" si="0"/>
        <v>708328.78</v>
      </c>
      <c r="D14" s="20">
        <f>'DOE25'!L206+'DOE25'!L224+'DOE25'!L242-F14-G14</f>
        <v>705596.72</v>
      </c>
      <c r="E14" s="244"/>
      <c r="F14" s="256">
        <f>'DOE25'!J206+'DOE25'!J224+'DOE25'!J242</f>
        <v>2732.06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284882.74</v>
      </c>
      <c r="D15" s="20">
        <f>'DOE25'!L207+'DOE25'!L225+'DOE25'!L243-F15-G15</f>
        <v>284882.74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14842.66</v>
      </c>
      <c r="D16" s="244"/>
      <c r="E16" s="20">
        <f>'DOE25'!L208+'DOE25'!L226+'DOE25'!L244-F16-G16</f>
        <v>14842.66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5045</v>
      </c>
      <c r="D22" s="244"/>
      <c r="E22" s="244"/>
      <c r="F22" s="256">
        <f>'DOE25'!L254+'DOE25'!L335</f>
        <v>5045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372260</v>
      </c>
      <c r="D25" s="244"/>
      <c r="E25" s="244"/>
      <c r="F25" s="259"/>
      <c r="G25" s="257"/>
      <c r="H25" s="258">
        <f>'DOE25'!L259+'DOE25'!L260+'DOE25'!L340+'DOE25'!L341</f>
        <v>372260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119986.32000000002</v>
      </c>
      <c r="D29" s="20">
        <f>'DOE25'!L357+'DOE25'!L358+'DOE25'!L359-'DOE25'!I366-F29-G29</f>
        <v>119986.32000000002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235654.14</v>
      </c>
      <c r="D31" s="20">
        <f>'DOE25'!L289+'DOE25'!L308+'DOE25'!L327+'DOE25'!L332+'DOE25'!L333+'DOE25'!L334-F31-G31</f>
        <v>216120.83000000002</v>
      </c>
      <c r="E31" s="244"/>
      <c r="F31" s="256">
        <f>'DOE25'!J289+'DOE25'!J308+'DOE25'!J327+'DOE25'!J332+'DOE25'!J333+'DOE25'!J334</f>
        <v>17601.559999999998</v>
      </c>
      <c r="G31" s="53">
        <f>'DOE25'!K289+'DOE25'!K308+'DOE25'!K327+'DOE25'!K332+'DOE25'!K333+'DOE25'!K334</f>
        <v>1931.75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11271308.750000002</v>
      </c>
      <c r="E33" s="247">
        <f>SUM(E5:E31)</f>
        <v>312453.47999999986</v>
      </c>
      <c r="F33" s="247">
        <f>SUM(F5:F31)</f>
        <v>40893.85</v>
      </c>
      <c r="G33" s="247">
        <f>SUM(G5:G31)</f>
        <v>21326.39</v>
      </c>
      <c r="H33" s="247">
        <f>SUM(H5:H31)</f>
        <v>372260</v>
      </c>
    </row>
    <row r="35" spans="2:8" ht="12" thickBot="1">
      <c r="B35" s="254" t="s">
        <v>847</v>
      </c>
      <c r="D35" s="255">
        <f>E33</f>
        <v>312453.47999999986</v>
      </c>
      <c r="E35" s="250"/>
    </row>
    <row r="36" spans="2:8" ht="12" thickTop="1">
      <c r="B36" t="s">
        <v>815</v>
      </c>
      <c r="D36" s="20">
        <f>D33</f>
        <v>11271308.750000002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RYE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162195.10999999999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421611.01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21205.59</v>
      </c>
      <c r="D11" s="95">
        <f>'DOE25'!G12</f>
        <v>3488.06</v>
      </c>
      <c r="E11" s="95">
        <f>'DOE25'!H12</f>
        <v>21521.25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459.33</v>
      </c>
      <c r="D12" s="95">
        <f>'DOE25'!G13</f>
        <v>4441.66</v>
      </c>
      <c r="E12" s="95">
        <f>'DOE25'!H13</f>
        <v>21205.59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2047.85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183860.02999999997</v>
      </c>
      <c r="D18" s="41">
        <f>SUM(D8:D17)</f>
        <v>9977.57</v>
      </c>
      <c r="E18" s="41">
        <f>SUM(E8:E17)</f>
        <v>42726.84</v>
      </c>
      <c r="F18" s="41">
        <f>SUM(F8:F17)</f>
        <v>0</v>
      </c>
      <c r="G18" s="41">
        <f>SUM(G8:G17)</f>
        <v>421611.01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25009.31</v>
      </c>
      <c r="D21" s="95">
        <f>'DOE25'!G22</f>
        <v>0</v>
      </c>
      <c r="E21" s="95">
        <f>'DOE25'!H22</f>
        <v>21205.59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2559.36</v>
      </c>
      <c r="D22" s="95">
        <f>'DOE25'!G23</f>
        <v>146.22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10896.7</v>
      </c>
      <c r="D23" s="95">
        <f>'DOE25'!G24</f>
        <v>299</v>
      </c>
      <c r="E23" s="95">
        <f>'DOE25'!H24</f>
        <v>169.74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20521.38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58986.75</v>
      </c>
      <c r="D31" s="41">
        <f>SUM(D21:D30)</f>
        <v>445.22</v>
      </c>
      <c r="E31" s="41">
        <f>SUM(E21:E30)</f>
        <v>21375.33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2047.85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7484.5</v>
      </c>
      <c r="E46" s="95">
        <f>'DOE25'!H47</f>
        <v>21351.51</v>
      </c>
      <c r="F46" s="95">
        <f>'DOE25'!I47</f>
        <v>0</v>
      </c>
      <c r="G46" s="95">
        <f>'DOE25'!J47</f>
        <v>421611.01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124873.28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124873.28</v>
      </c>
      <c r="D49" s="41">
        <f>SUM(D34:D48)</f>
        <v>9532.35</v>
      </c>
      <c r="E49" s="41">
        <f>SUM(E34:E48)</f>
        <v>21351.51</v>
      </c>
      <c r="F49" s="41">
        <f>SUM(F34:F48)</f>
        <v>0</v>
      </c>
      <c r="G49" s="41">
        <f>SUM(G34:G48)</f>
        <v>421611.01</v>
      </c>
      <c r="H49" s="124"/>
      <c r="I49" s="124"/>
    </row>
    <row r="50" spans="1:9" ht="12" thickTop="1">
      <c r="A50" s="38" t="s">
        <v>895</v>
      </c>
      <c r="B50" s="2"/>
      <c r="C50" s="41">
        <f>C49+C31</f>
        <v>183860.03</v>
      </c>
      <c r="D50" s="41">
        <f>D49+D31</f>
        <v>9977.57</v>
      </c>
      <c r="E50" s="41">
        <f>E49+E31</f>
        <v>42726.84</v>
      </c>
      <c r="F50" s="41">
        <f>F49+F31</f>
        <v>0</v>
      </c>
      <c r="G50" s="41">
        <f>G49+G31</f>
        <v>421611.01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6874815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340982.5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379.89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321.77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152630.32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5383.43</v>
      </c>
      <c r="D60" s="95">
        <f>SUM('DOE25'!G97:G109)</f>
        <v>0</v>
      </c>
      <c r="E60" s="95">
        <f>SUM('DOE25'!H97:H109)</f>
        <v>91813.96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346745.82</v>
      </c>
      <c r="D61" s="130">
        <f>SUM(D56:D60)</f>
        <v>152630.32</v>
      </c>
      <c r="E61" s="130">
        <f>SUM(E56:E60)</f>
        <v>91813.96</v>
      </c>
      <c r="F61" s="130">
        <f>SUM(F56:F60)</f>
        <v>0</v>
      </c>
      <c r="G61" s="130">
        <f>SUM(G56:G60)</f>
        <v>321.77</v>
      </c>
      <c r="H61"/>
      <c r="I61"/>
    </row>
    <row r="62" spans="1:9" ht="12" thickTop="1">
      <c r="A62" s="29" t="s">
        <v>175</v>
      </c>
      <c r="B62" s="6"/>
      <c r="C62" s="22">
        <f>C55+C61</f>
        <v>7221560.8200000003</v>
      </c>
      <c r="D62" s="22">
        <f>D55+D61</f>
        <v>152630.32</v>
      </c>
      <c r="E62" s="22">
        <f>E55+E61</f>
        <v>91813.96</v>
      </c>
      <c r="F62" s="22">
        <f>F55+F61</f>
        <v>0</v>
      </c>
      <c r="G62" s="22">
        <f>G55+G61</f>
        <v>321.77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4256276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4256276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116411.55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2632.73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116411.55</v>
      </c>
      <c r="D77" s="130">
        <f>SUM(D71:D76)</f>
        <v>2632.73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4372687.55</v>
      </c>
      <c r="D80" s="130">
        <f>SUM(D78:D79)+D77+D69</f>
        <v>2632.73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24893.19</v>
      </c>
      <c r="D87" s="95">
        <f>SUM('DOE25'!G152:G160)</f>
        <v>27352.799999999999</v>
      </c>
      <c r="E87" s="95">
        <f>SUM('DOE25'!H152:H160)</f>
        <v>138715.92000000001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24893.19</v>
      </c>
      <c r="D90" s="131">
        <f>SUM(D84:D89)</f>
        <v>27352.799999999999</v>
      </c>
      <c r="E90" s="131">
        <f>SUM(E84:E89)</f>
        <v>138715.92000000001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10</v>
      </c>
      <c r="F95" s="95">
        <f>'DOE25'!I178</f>
        <v>0</v>
      </c>
      <c r="G95" s="95">
        <f>'DOE25'!J178</f>
        <v>100000</v>
      </c>
    </row>
    <row r="96" spans="1:9">
      <c r="A96" t="s">
        <v>758</v>
      </c>
      <c r="B96" s="32" t="s">
        <v>188</v>
      </c>
      <c r="C96" s="95">
        <f>SUM('DOE25'!F179:F180)</f>
        <v>1797.36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1797.36</v>
      </c>
      <c r="D102" s="86">
        <f>SUM(D92:D101)</f>
        <v>0</v>
      </c>
      <c r="E102" s="86">
        <f>SUM(E92:E101)</f>
        <v>10</v>
      </c>
      <c r="F102" s="86">
        <f>SUM(F92:F101)</f>
        <v>0</v>
      </c>
      <c r="G102" s="86">
        <f>SUM(G92:G101)</f>
        <v>100000</v>
      </c>
    </row>
    <row r="103" spans="1:7" ht="12.75" thickTop="1" thickBot="1">
      <c r="A103" s="33" t="s">
        <v>765</v>
      </c>
      <c r="C103" s="86">
        <f>C62+C80+C90+C102</f>
        <v>11620938.92</v>
      </c>
      <c r="D103" s="86">
        <f>D62+D80+D90+D102</f>
        <v>182615.85</v>
      </c>
      <c r="E103" s="86">
        <f>E62+E80+E90+E102</f>
        <v>230539.88</v>
      </c>
      <c r="F103" s="86">
        <f>F62+F80+F90+F102</f>
        <v>0</v>
      </c>
      <c r="G103" s="86">
        <f>G62+G80+G102</f>
        <v>100321.77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7112563.3599999994</v>
      </c>
      <c r="D108" s="24" t="s">
        <v>289</v>
      </c>
      <c r="E108" s="95">
        <f>('DOE25'!L275)+('DOE25'!L294)+('DOE25'!L313)</f>
        <v>93726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1003849.8099999999</v>
      </c>
      <c r="D109" s="24" t="s">
        <v>289</v>
      </c>
      <c r="E109" s="95">
        <f>('DOE25'!L276)+('DOE25'!L295)+('DOE25'!L314)</f>
        <v>29787.5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110344.63</v>
      </c>
      <c r="D111" s="24" t="s">
        <v>289</v>
      </c>
      <c r="E111" s="95">
        <f>+('DOE25'!L278)+('DOE25'!L297)+('DOE25'!L316)</f>
        <v>73105.02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8226757.7999999989</v>
      </c>
      <c r="D114" s="86">
        <f>SUM(D108:D113)</f>
        <v>0</v>
      </c>
      <c r="E114" s="86">
        <f>SUM(E108:E113)</f>
        <v>196618.52000000002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544580.33000000007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483254.08</v>
      </c>
      <c r="D118" s="24" t="s">
        <v>289</v>
      </c>
      <c r="E118" s="95">
        <f>+('DOE25'!L281)+('DOE25'!L300)+('DOE25'!L319)</f>
        <v>30846.870000000003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536234.05999999994</v>
      </c>
      <c r="D119" s="24" t="s">
        <v>289</v>
      </c>
      <c r="E119" s="95">
        <f>+('DOE25'!L282)+('DOE25'!L301)+('DOE25'!L320)</f>
        <v>1442.6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470734.1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8232.4599999999991</v>
      </c>
      <c r="D121" s="24" t="s">
        <v>289</v>
      </c>
      <c r="E121" s="95">
        <f>+('DOE25'!L284)+('DOE25'!L303)+('DOE25'!L322)</f>
        <v>439.15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708328.78</v>
      </c>
      <c r="D122" s="24" t="s">
        <v>289</v>
      </c>
      <c r="E122" s="95">
        <f>+('DOE25'!L285)+('DOE25'!L304)+('DOE25'!L323)</f>
        <v>5011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284882.74</v>
      </c>
      <c r="D123" s="24" t="s">
        <v>289</v>
      </c>
      <c r="E123" s="95">
        <f>+('DOE25'!L286)+('DOE25'!L305)+('DOE25'!L324)</f>
        <v>165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14842.66</v>
      </c>
      <c r="D124" s="24" t="s">
        <v>289</v>
      </c>
      <c r="E124" s="95">
        <f>+('DOE25'!L287)+('DOE25'!L306)+('DOE25'!L325)</f>
        <v>1131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188508.96000000002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3051089.2100000009</v>
      </c>
      <c r="D127" s="86">
        <f>SUM(D117:D126)</f>
        <v>188508.96000000002</v>
      </c>
      <c r="E127" s="86">
        <f>SUM(E117:E126)</f>
        <v>39035.620000000003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5045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280000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92260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1797.36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10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100321.76999999999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-321.76999999998952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477315</v>
      </c>
      <c r="D143" s="141">
        <f>SUM(D129:D142)</f>
        <v>0</v>
      </c>
      <c r="E143" s="141">
        <f>SUM(E129:E142)</f>
        <v>1797.36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11755162.01</v>
      </c>
      <c r="D144" s="86">
        <f>(D114+D127+D143)</f>
        <v>188508.96000000002</v>
      </c>
      <c r="E144" s="86">
        <f>(E114+E127+E143)</f>
        <v>237451.5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12/96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01/17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8844720.8000000007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5.45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1680000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1680000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280000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280000</v>
      </c>
    </row>
    <row r="158" spans="1:9">
      <c r="A158" s="22" t="s">
        <v>35</v>
      </c>
      <c r="B158" s="137">
        <f>'DOE25'!F497</f>
        <v>1400000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1400000</v>
      </c>
    </row>
    <row r="159" spans="1:9">
      <c r="A159" s="22" t="s">
        <v>36</v>
      </c>
      <c r="B159" s="137">
        <f>'DOE25'!F498</f>
        <v>231000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231000</v>
      </c>
    </row>
    <row r="160" spans="1:9">
      <c r="A160" s="22" t="s">
        <v>37</v>
      </c>
      <c r="B160" s="137">
        <f>'DOE25'!F499</f>
        <v>1631000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1631000</v>
      </c>
    </row>
    <row r="161" spans="1:7">
      <c r="A161" s="22" t="s">
        <v>38</v>
      </c>
      <c r="B161" s="137">
        <f>'DOE25'!F500</f>
        <v>280000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280000</v>
      </c>
    </row>
    <row r="162" spans="1:7">
      <c r="A162" s="22" t="s">
        <v>39</v>
      </c>
      <c r="B162" s="137">
        <f>'DOE25'!F501</f>
        <v>77000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77000</v>
      </c>
    </row>
    <row r="163" spans="1:7">
      <c r="A163" s="22" t="s">
        <v>246</v>
      </c>
      <c r="B163" s="137">
        <f>'DOE25'!F502</f>
        <v>357000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357000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RYE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15797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15797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7206289</v>
      </c>
      <c r="D10" s="182">
        <f>ROUND((C10/$C$28)*100,1)</f>
        <v>61.9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1033637</v>
      </c>
      <c r="D11" s="182">
        <f>ROUND((C11/$C$28)*100,1)</f>
        <v>8.9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183450</v>
      </c>
      <c r="D13" s="182">
        <f>ROUND((C13/$C$28)*100,1)</f>
        <v>1.6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544580</v>
      </c>
      <c r="D15" s="182">
        <f t="shared" ref="D15:D27" si="0">ROUND((C15/$C$28)*100,1)</f>
        <v>4.7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514101</v>
      </c>
      <c r="D16" s="182">
        <f t="shared" si="0"/>
        <v>4.4000000000000004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553650</v>
      </c>
      <c r="D17" s="182">
        <f t="shared" si="0"/>
        <v>4.8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470734</v>
      </c>
      <c r="D18" s="182">
        <f t="shared" si="0"/>
        <v>4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8672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713340</v>
      </c>
      <c r="D20" s="182">
        <f t="shared" si="0"/>
        <v>6.1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285048</v>
      </c>
      <c r="D21" s="182">
        <f t="shared" si="0"/>
        <v>2.4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92260</v>
      </c>
      <c r="D25" s="182">
        <f t="shared" si="0"/>
        <v>0.8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35878.679999999993</v>
      </c>
      <c r="D27" s="182">
        <f t="shared" si="0"/>
        <v>0.3</v>
      </c>
    </row>
    <row r="28" spans="1:4">
      <c r="B28" s="187" t="s">
        <v>723</v>
      </c>
      <c r="C28" s="180">
        <f>SUM(C10:C27)</f>
        <v>11641639.68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5045</v>
      </c>
    </row>
    <row r="30" spans="1:4">
      <c r="B30" s="187" t="s">
        <v>729</v>
      </c>
      <c r="C30" s="180">
        <f>SUM(C28:C29)</f>
        <v>11646684.68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280000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6874815</v>
      </c>
      <c r="D35" s="182">
        <f t="shared" ref="D35:D40" si="1">ROUND((C35/$C$41)*100,1)</f>
        <v>57.9</v>
      </c>
    </row>
    <row r="36" spans="1:4">
      <c r="B36" s="185" t="s">
        <v>743</v>
      </c>
      <c r="C36" s="179">
        <f>SUM('DOE25'!F111:J111)-SUM('DOE25'!G96:G109)+('DOE25'!F173+'DOE25'!F174+'DOE25'!I173+'DOE25'!I174)-C35</f>
        <v>438881.54999999981</v>
      </c>
      <c r="D36" s="182">
        <f t="shared" si="1"/>
        <v>3.7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4256276</v>
      </c>
      <c r="D37" s="182">
        <f t="shared" si="1"/>
        <v>35.799999999999997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119044</v>
      </c>
      <c r="D38" s="182">
        <f t="shared" si="1"/>
        <v>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190962</v>
      </c>
      <c r="D39" s="182">
        <f t="shared" si="1"/>
        <v>1.6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11879978.550000001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>
      <c r="A2" s="284" t="s">
        <v>767</v>
      </c>
      <c r="B2" s="285"/>
      <c r="C2" s="285"/>
      <c r="D2" s="285"/>
      <c r="E2" s="285"/>
      <c r="F2" s="292" t="str">
        <f>'DOE25'!A2</f>
        <v>RYE SCHOOL DISTRICT</v>
      </c>
      <c r="G2" s="293"/>
      <c r="H2" s="293"/>
      <c r="I2" s="293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F0A" sheet="1" objects="1" scenarios="1"/>
  <mergeCells count="223">
    <mergeCell ref="C88:M88"/>
    <mergeCell ref="C89:M89"/>
    <mergeCell ref="C90:M90"/>
    <mergeCell ref="C83:M83"/>
    <mergeCell ref="C84:M84"/>
    <mergeCell ref="C85:M85"/>
    <mergeCell ref="C86:M86"/>
    <mergeCell ref="C25:M25"/>
    <mergeCell ref="C26:M26"/>
    <mergeCell ref="C27:M27"/>
    <mergeCell ref="C28:M28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70:M70"/>
    <mergeCell ref="A72:E72"/>
    <mergeCell ref="C73:M73"/>
    <mergeCell ref="C74:M74"/>
    <mergeCell ref="C66:M66"/>
    <mergeCell ref="C67:M67"/>
    <mergeCell ref="C68:M68"/>
    <mergeCell ref="C69:M69"/>
    <mergeCell ref="C29:M2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21:M21"/>
    <mergeCell ref="C22:M22"/>
    <mergeCell ref="C23:M23"/>
    <mergeCell ref="C24:M24"/>
    <mergeCell ref="C61:M61"/>
    <mergeCell ref="C53:M53"/>
    <mergeCell ref="C54:M54"/>
    <mergeCell ref="C55:M55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A2:E2"/>
    <mergeCell ref="C20:M20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GC29:GM29"/>
    <mergeCell ref="GP29:GZ29"/>
    <mergeCell ref="HC29:HM29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AP31:AZ31"/>
    <mergeCell ref="C32:M32"/>
    <mergeCell ref="C30:M30"/>
    <mergeCell ref="C31:M31"/>
    <mergeCell ref="P31:Z31"/>
    <mergeCell ref="AC31:AM31"/>
    <mergeCell ref="P32: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HC32:HM32"/>
    <mergeCell ref="DC32:DM32"/>
    <mergeCell ref="DP32:DZ32"/>
    <mergeCell ref="EC32:EM32"/>
    <mergeCell ref="EP32:EZ32"/>
    <mergeCell ref="FP32:FZ32"/>
    <mergeCell ref="GC32:GM32"/>
    <mergeCell ref="AP38:AZ38"/>
    <mergeCell ref="GP32:GZ32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IP38:IV38"/>
    <mergeCell ref="BP39:BZ39"/>
    <mergeCell ref="C56:M56"/>
    <mergeCell ref="C57:M57"/>
    <mergeCell ref="C59:M59"/>
    <mergeCell ref="C60:M60"/>
    <mergeCell ref="C58:M58"/>
    <mergeCell ref="P39:Z39"/>
    <mergeCell ref="AC39:AM39"/>
    <mergeCell ref="AP39:AZ39"/>
    <mergeCell ref="C42:M42"/>
    <mergeCell ref="P40:Z40"/>
    <mergeCell ref="AC40:AM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2012-07-31T16:26:27Z</cp:lastPrinted>
  <dcterms:created xsi:type="dcterms:W3CDTF">1997-12-04T19:04:30Z</dcterms:created>
  <dcterms:modified xsi:type="dcterms:W3CDTF">2012-11-21T16:01:37Z</dcterms:modified>
</cp:coreProperties>
</file>