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390" windowWidth="12735" windowHeight="61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" i="1" l="1"/>
  <c r="F29" i="1"/>
  <c r="F24" i="1"/>
  <c r="F22" i="1"/>
  <c r="G13" i="1" l="1"/>
  <c r="H158" i="1"/>
  <c r="G467" i="1"/>
  <c r="F471" i="1" l="1"/>
  <c r="J467" i="1" l="1"/>
  <c r="H101" i="1"/>
  <c r="H156" i="1"/>
  <c r="H155" i="1"/>
  <c r="H153" i="1"/>
  <c r="H154" i="1"/>
  <c r="H377" i="1"/>
  <c r="H375" i="1"/>
  <c r="I9" i="1"/>
  <c r="G439" i="1"/>
  <c r="H391" i="1"/>
  <c r="B21" i="12" l="1"/>
  <c r="B20" i="12"/>
  <c r="B19" i="12"/>
  <c r="B30" i="12"/>
  <c r="B29" i="12"/>
  <c r="B28" i="12"/>
  <c r="G501" i="1" l="1"/>
  <c r="G498" i="1"/>
  <c r="H498" i="1"/>
  <c r="H501" i="1"/>
  <c r="F501" i="1"/>
  <c r="F498" i="1"/>
  <c r="I222" i="1" l="1"/>
  <c r="I204" i="1"/>
  <c r="I238" i="1"/>
  <c r="I237" i="1"/>
  <c r="H219" i="1"/>
  <c r="I217" i="1"/>
  <c r="I197" i="1"/>
  <c r="G196" i="1"/>
  <c r="H578" i="1"/>
  <c r="F578" i="1"/>
  <c r="F532" i="1" l="1"/>
  <c r="G532" i="1" s="1"/>
  <c r="G522" i="1" s="1"/>
  <c r="F531" i="1"/>
  <c r="G531" i="1" s="1"/>
  <c r="G521" i="1" s="1"/>
  <c r="F530" i="1"/>
  <c r="G530" i="1" s="1"/>
  <c r="G520" i="1" s="1"/>
  <c r="F521" i="1" l="1"/>
  <c r="F520" i="1"/>
  <c r="F522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F109" i="1"/>
  <c r="F47" i="1" l="1"/>
  <c r="F40" i="2" l="1"/>
  <c r="D39" i="2"/>
  <c r="G654" i="1" l="1"/>
  <c r="F47" i="2" l="1"/>
  <c r="E47" i="2"/>
  <c r="D47" i="2"/>
  <c r="C47" i="2"/>
  <c r="F46" i="2"/>
  <c r="E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E110" i="2" s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131" i="2" s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E55" i="2" s="1"/>
  <c r="I59" i="1"/>
  <c r="F78" i="1"/>
  <c r="C56" i="2" s="1"/>
  <c r="F93" i="1"/>
  <c r="C57" i="2" s="1"/>
  <c r="F110" i="1"/>
  <c r="G110" i="1"/>
  <c r="H78" i="1"/>
  <c r="H93" i="1"/>
  <c r="E57" i="2" s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F84" i="2" s="1"/>
  <c r="I161" i="1"/>
  <c r="L249" i="1"/>
  <c r="L331" i="1"/>
  <c r="L253" i="1"/>
  <c r="C25" i="10"/>
  <c r="L267" i="1"/>
  <c r="L268" i="1"/>
  <c r="L348" i="1"/>
  <c r="E141" i="2" s="1"/>
  <c r="L349" i="1"/>
  <c r="C26" i="10" s="1"/>
  <c r="I664" i="1"/>
  <c r="I669" i="1"/>
  <c r="F661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F55" i="2"/>
  <c r="E56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0" i="2"/>
  <c r="C112" i="2"/>
  <c r="E112" i="2"/>
  <c r="D114" i="2"/>
  <c r="F114" i="2"/>
  <c r="G114" i="2"/>
  <c r="E121" i="2"/>
  <c r="E122" i="2"/>
  <c r="E123" i="2"/>
  <c r="F127" i="2"/>
  <c r="G127" i="2"/>
  <c r="E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G619" i="1" s="1"/>
  <c r="F32" i="1"/>
  <c r="G32" i="1"/>
  <c r="H32" i="1"/>
  <c r="I32" i="1"/>
  <c r="H50" i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G407" i="1" s="1"/>
  <c r="H644" i="1" s="1"/>
  <c r="H406" i="1"/>
  <c r="I406" i="1"/>
  <c r="F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H460" i="1" s="1"/>
  <c r="H640" i="1" s="1"/>
  <c r="F459" i="1"/>
  <c r="G459" i="1"/>
  <c r="H459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H636" i="1"/>
  <c r="H637" i="1"/>
  <c r="G640" i="1"/>
  <c r="G642" i="1"/>
  <c r="H642" i="1"/>
  <c r="G643" i="1"/>
  <c r="G644" i="1"/>
  <c r="H646" i="1"/>
  <c r="G648" i="1"/>
  <c r="G649" i="1"/>
  <c r="G650" i="1"/>
  <c r="G651" i="1"/>
  <c r="H651" i="1"/>
  <c r="G652" i="1"/>
  <c r="H652" i="1"/>
  <c r="G653" i="1"/>
  <c r="H653" i="1"/>
  <c r="H654" i="1"/>
  <c r="A40" i="12"/>
  <c r="G8" i="2"/>
  <c r="C90" i="2"/>
  <c r="G80" i="2"/>
  <c r="G570" i="1" l="1"/>
  <c r="H407" i="1"/>
  <c r="H643" i="1" s="1"/>
  <c r="F191" i="1"/>
  <c r="L406" i="1"/>
  <c r="C139" i="2" s="1"/>
  <c r="E124" i="2"/>
  <c r="F660" i="1"/>
  <c r="D18" i="13"/>
  <c r="C18" i="13" s="1"/>
  <c r="D15" i="13"/>
  <c r="C15" i="13" s="1"/>
  <c r="C118" i="2"/>
  <c r="H433" i="1"/>
  <c r="L269" i="1"/>
  <c r="L350" i="1"/>
  <c r="E119" i="2"/>
  <c r="H661" i="1"/>
  <c r="E102" i="2"/>
  <c r="C77" i="2"/>
  <c r="E111" i="2"/>
  <c r="F49" i="2"/>
  <c r="D102" i="2"/>
  <c r="I661" i="1"/>
  <c r="F77" i="2"/>
  <c r="F80" i="2" s="1"/>
  <c r="J651" i="1"/>
  <c r="L538" i="1"/>
  <c r="F460" i="1"/>
  <c r="H638" i="1" s="1"/>
  <c r="F433" i="1"/>
  <c r="G102" i="2"/>
  <c r="G111" i="1"/>
  <c r="G460" i="1"/>
  <c r="H639" i="1" s="1"/>
  <c r="J653" i="1"/>
  <c r="J648" i="1"/>
  <c r="I433" i="1"/>
  <c r="I51" i="1"/>
  <c r="H619" i="1" s="1"/>
  <c r="G161" i="2"/>
  <c r="G156" i="2"/>
  <c r="E142" i="2"/>
  <c r="E143" i="2" s="1"/>
  <c r="E61" i="2"/>
  <c r="E62" i="2" s="1"/>
  <c r="F31" i="2"/>
  <c r="E18" i="2"/>
  <c r="F129" i="2"/>
  <c r="F143" i="2" s="1"/>
  <c r="F144" i="2" s="1"/>
  <c r="J433" i="1"/>
  <c r="F102" i="2"/>
  <c r="F18" i="2"/>
  <c r="I459" i="1"/>
  <c r="I460" i="1" s="1"/>
  <c r="H641" i="1" s="1"/>
  <c r="I451" i="1"/>
  <c r="I445" i="1"/>
  <c r="G641" i="1" s="1"/>
  <c r="I407" i="1"/>
  <c r="G162" i="2"/>
  <c r="F90" i="2"/>
  <c r="D19" i="13"/>
  <c r="C19" i="13" s="1"/>
  <c r="C113" i="2"/>
  <c r="E49" i="2"/>
  <c r="J652" i="1"/>
  <c r="G433" i="1"/>
  <c r="I191" i="1"/>
  <c r="E113" i="2"/>
  <c r="C21" i="10"/>
  <c r="C31" i="2"/>
  <c r="G47" i="1"/>
  <c r="D46" i="2" s="1"/>
  <c r="D49" i="2" s="1"/>
  <c r="L613" i="1"/>
  <c r="H51" i="1"/>
  <c r="H618" i="1" s="1"/>
  <c r="J618" i="1" s="1"/>
  <c r="E31" i="2"/>
  <c r="E90" i="2"/>
  <c r="G624" i="1"/>
  <c r="J619" i="1"/>
  <c r="F61" i="2"/>
  <c r="F62" i="2" s="1"/>
  <c r="F103" i="2" s="1"/>
  <c r="L381" i="1"/>
  <c r="G635" i="1" s="1"/>
  <c r="J635" i="1" s="1"/>
  <c r="K433" i="1"/>
  <c r="G133" i="2" s="1"/>
  <c r="G143" i="2" s="1"/>
  <c r="G144" i="2" s="1"/>
  <c r="A31" i="12"/>
  <c r="G163" i="2"/>
  <c r="G157" i="2"/>
  <c r="K502" i="1"/>
  <c r="G159" i="2"/>
  <c r="G158" i="2"/>
  <c r="K499" i="1"/>
  <c r="G160" i="2"/>
  <c r="I662" i="1"/>
  <c r="C18" i="10"/>
  <c r="G155" i="2"/>
  <c r="L528" i="1"/>
  <c r="L543" i="1"/>
  <c r="L533" i="1"/>
  <c r="F544" i="1"/>
  <c r="C102" i="2"/>
  <c r="D61" i="2"/>
  <c r="D62" i="2" s="1"/>
  <c r="C18" i="2"/>
  <c r="D90" i="2"/>
  <c r="C69" i="2"/>
  <c r="L523" i="1"/>
  <c r="C61" i="2"/>
  <c r="C62" i="2" s="1"/>
  <c r="C32" i="10"/>
  <c r="D17" i="13"/>
  <c r="C17" i="13" s="1"/>
  <c r="L255" i="1"/>
  <c r="C20" i="10"/>
  <c r="C19" i="10"/>
  <c r="E8" i="13"/>
  <c r="C8" i="13" s="1"/>
  <c r="D7" i="13"/>
  <c r="C7" i="13" s="1"/>
  <c r="C117" i="2"/>
  <c r="L246" i="1"/>
  <c r="C111" i="2"/>
  <c r="C109" i="2"/>
  <c r="K256" i="1"/>
  <c r="K270" i="1" s="1"/>
  <c r="C10" i="10"/>
  <c r="C13" i="10"/>
  <c r="D6" i="13"/>
  <c r="C6" i="13" s="1"/>
  <c r="C119" i="2"/>
  <c r="D12" i="13"/>
  <c r="C12" i="13" s="1"/>
  <c r="C120" i="2"/>
  <c r="E13" i="13"/>
  <c r="C13" i="13" s="1"/>
  <c r="C121" i="2"/>
  <c r="L228" i="1"/>
  <c r="I256" i="1"/>
  <c r="I270" i="1" s="1"/>
  <c r="G256" i="1"/>
  <c r="G270" i="1" s="1"/>
  <c r="F256" i="1"/>
  <c r="F270" i="1" s="1"/>
  <c r="J649" i="1"/>
  <c r="C17" i="10"/>
  <c r="C124" i="2"/>
  <c r="C123" i="2"/>
  <c r="D14" i="13"/>
  <c r="C14" i="13" s="1"/>
  <c r="C122" i="2"/>
  <c r="C108" i="2"/>
  <c r="L210" i="1"/>
  <c r="E120" i="2"/>
  <c r="C24" i="10"/>
  <c r="G31" i="13"/>
  <c r="G33" i="13" s="1"/>
  <c r="K337" i="1"/>
  <c r="K351" i="1" s="1"/>
  <c r="C16" i="10"/>
  <c r="E118" i="2"/>
  <c r="C15" i="10"/>
  <c r="E117" i="2"/>
  <c r="C12" i="10"/>
  <c r="L327" i="1"/>
  <c r="J337" i="1"/>
  <c r="J351" i="1" s="1"/>
  <c r="E109" i="2"/>
  <c r="I337" i="1"/>
  <c r="I351" i="1" s="1"/>
  <c r="E108" i="2"/>
  <c r="C11" i="10"/>
  <c r="L289" i="1"/>
  <c r="A22" i="12"/>
  <c r="F31" i="13"/>
  <c r="H660" i="1"/>
  <c r="D29" i="13"/>
  <c r="C29" i="13" s="1"/>
  <c r="D126" i="2"/>
  <c r="D127" i="2" s="1"/>
  <c r="D144" i="2" s="1"/>
  <c r="G660" i="1"/>
  <c r="L361" i="1"/>
  <c r="D31" i="2"/>
  <c r="G617" i="1"/>
  <c r="G623" i="1"/>
  <c r="D18" i="2"/>
  <c r="G616" i="1"/>
  <c r="F49" i="1"/>
  <c r="C80" i="2"/>
  <c r="E77" i="2"/>
  <c r="E80" i="2" s="1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F475" i="1"/>
  <c r="H621" i="1" s="1"/>
  <c r="I475" i="1"/>
  <c r="H624" i="1" s="1"/>
  <c r="J624" i="1" s="1"/>
  <c r="G475" i="1"/>
  <c r="H622" i="1" s="1"/>
  <c r="G337" i="1"/>
  <c r="G351" i="1" s="1"/>
  <c r="C23" i="10"/>
  <c r="F168" i="1"/>
  <c r="J139" i="1"/>
  <c r="F570" i="1"/>
  <c r="H256" i="1"/>
  <c r="H270" i="1" s="1"/>
  <c r="G62" i="2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J551" i="1"/>
  <c r="H551" i="1"/>
  <c r="C29" i="10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J654" i="1"/>
  <c r="J644" i="1"/>
  <c r="J192" i="1"/>
  <c r="L569" i="1"/>
  <c r="I570" i="1"/>
  <c r="I544" i="1"/>
  <c r="G36" i="2"/>
  <c r="G49" i="2" s="1"/>
  <c r="J50" i="1"/>
  <c r="L564" i="1"/>
  <c r="G544" i="1"/>
  <c r="H544" i="1"/>
  <c r="K550" i="1"/>
  <c r="F50" i="2" l="1"/>
  <c r="E50" i="2"/>
  <c r="J641" i="1"/>
  <c r="F659" i="1"/>
  <c r="F663" i="1" s="1"/>
  <c r="F666" i="1" s="1"/>
  <c r="E103" i="2"/>
  <c r="G103" i="2"/>
  <c r="I192" i="1"/>
  <c r="G629" i="1" s="1"/>
  <c r="J629" i="1" s="1"/>
  <c r="L570" i="1"/>
  <c r="L433" i="1"/>
  <c r="G637" i="1" s="1"/>
  <c r="J637" i="1" s="1"/>
  <c r="J647" i="1"/>
  <c r="H192" i="1"/>
  <c r="G628" i="1" s="1"/>
  <c r="J628" i="1" s="1"/>
  <c r="C39" i="10"/>
  <c r="D103" i="2"/>
  <c r="L544" i="1"/>
  <c r="D50" i="2"/>
  <c r="G50" i="2"/>
  <c r="K551" i="1"/>
  <c r="C103" i="2"/>
  <c r="H659" i="1"/>
  <c r="H663" i="1" s="1"/>
  <c r="H666" i="1" s="1"/>
  <c r="C114" i="2"/>
  <c r="L256" i="1"/>
  <c r="L270" i="1" s="1"/>
  <c r="G631" i="1" s="1"/>
  <c r="J631" i="1" s="1"/>
  <c r="C127" i="2"/>
  <c r="J270" i="1"/>
  <c r="E127" i="2"/>
  <c r="E114" i="2"/>
  <c r="I660" i="1"/>
  <c r="C27" i="10"/>
  <c r="C28" i="10" s="1"/>
  <c r="G634" i="1"/>
  <c r="J634" i="1" s="1"/>
  <c r="G50" i="1"/>
  <c r="G51" i="1" s="1"/>
  <c r="H617" i="1" s="1"/>
  <c r="J617" i="1" s="1"/>
  <c r="J623" i="1"/>
  <c r="F50" i="1"/>
  <c r="C48" i="2"/>
  <c r="C49" i="2" s="1"/>
  <c r="C50" i="2" s="1"/>
  <c r="C36" i="10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71" i="1" l="1"/>
  <c r="C4" i="10" s="1"/>
  <c r="C41" i="10"/>
  <c r="D39" i="10" s="1"/>
  <c r="C144" i="2"/>
  <c r="E144" i="2"/>
  <c r="H671" i="1"/>
  <c r="C6" i="10" s="1"/>
  <c r="G622" i="1"/>
  <c r="J622" i="1" s="1"/>
  <c r="D11" i="10"/>
  <c r="D18" i="10"/>
  <c r="D20" i="10"/>
  <c r="D23" i="10"/>
  <c r="D25" i="10"/>
  <c r="D22" i="10"/>
  <c r="D24" i="10"/>
  <c r="D17" i="10"/>
  <c r="D15" i="10"/>
  <c r="D12" i="10"/>
  <c r="D19" i="10"/>
  <c r="D27" i="10"/>
  <c r="D10" i="10"/>
  <c r="D13" i="10"/>
  <c r="D26" i="10"/>
  <c r="D21" i="10"/>
  <c r="D16" i="10"/>
  <c r="C30" i="10"/>
  <c r="G621" i="1"/>
  <c r="J621" i="1" s="1"/>
  <c r="F51" i="1"/>
  <c r="H616" i="1" s="1"/>
  <c r="J616" i="1" s="1"/>
  <c r="G636" i="1"/>
  <c r="J636" i="1" s="1"/>
  <c r="H645" i="1"/>
  <c r="J645" i="1" s="1"/>
  <c r="D33" i="13"/>
  <c r="D36" i="13" s="1"/>
  <c r="G663" i="1"/>
  <c r="I659" i="1"/>
  <c r="I663" i="1" s="1"/>
  <c r="J625" i="1"/>
  <c r="D38" i="10" l="1"/>
  <c r="D37" i="10"/>
  <c r="D36" i="10"/>
  <c r="D40" i="10"/>
  <c r="D35" i="10"/>
  <c r="D28" i="10"/>
  <c r="H655" i="1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<sst xmlns="http://schemas.openxmlformats.org/spreadsheetml/2006/main" count="3956" uniqueCount="917">
  <si>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</si>
  <si>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</si>
  <si>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</si>
  <si>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</si>
  <si>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</si>
  <si>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</si>
  <si>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</si>
  <si>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</si>
  <si>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</si>
  <si>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</si>
  <si>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</si>
  <si>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</si>
  <si>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</si>
  <si>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</si>
  <si>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</si>
  <si>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</si>
  <si>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</si>
  <si>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</si>
  <si>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</si>
  <si>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</si>
  <si>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</si>
  <si>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</si>
  <si>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</si>
  <si>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</si>
  <si>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</si>
  <si>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</si>
  <si>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</si>
  <si>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</si>
  <si>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</si>
  <si>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</si>
  <si>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</si>
  <si>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</si>
  <si>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</si>
  <si>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</si>
  <si>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</si>
  <si>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</si>
  <si>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</si>
  <si>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</si>
  <si>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</si>
  <si>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</si>
  <si>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</si>
  <si>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</si>
  <si>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</si>
  <si>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</si>
  <si>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</si>
  <si>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</si>
  <si>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</si>
  <si>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</si>
  <si>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</si>
  <si>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</si>
  <si>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</si>
  <si>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</si>
  <si>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</si>
  <si>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</si>
  <si>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</si>
  <si>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</si>
  <si>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</si>
  <si>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</si>
  <si>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</si>
  <si>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</si>
  <si>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</si>
  <si>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</si>
  <si>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</si>
  <si>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</si>
  <si>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</si>
  <si>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</si>
  <si>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</si>
  <si>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</si>
  <si>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</si>
  <si>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</si>
  <si>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</si>
  <si>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</si>
  <si>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</si>
  <si>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</si>
  <si>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</si>
  <si>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</si>
  <si>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</si>
  <si>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</si>
  <si>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</si>
  <si>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</si>
  <si>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</si>
  <si>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</si>
  <si>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</si>
  <si>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</si>
  <si>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</si>
  <si>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</si>
  <si>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</si>
  <si>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</si>
  <si>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</si>
  <si>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</si>
  <si>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</si>
  <si>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</si>
  <si>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</si>
  <si>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</si>
  <si>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</si>
  <si>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</si>
  <si>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</si>
  <si>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</si>
  <si>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</si>
  <si>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</si>
  <si>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</si>
  <si>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</si>
  <si>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</si>
  <si>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</si>
  <si>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</si>
  <si>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</si>
  <si>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</si>
  <si>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</si>
  <si>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</si>
  <si>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</si>
  <si>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</si>
  <si>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</si>
  <si>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</si>
  <si>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</si>
  <si>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</si>
  <si>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</si>
  <si>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</si>
  <si>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</si>
  <si>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</si>
  <si>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</si>
  <si>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</si>
  <si>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</si>
  <si>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</si>
  <si>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</si>
  <si>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</si>
  <si>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</si>
  <si>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</si>
  <si>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</si>
  <si>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</si>
  <si>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</si>
  <si>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</si>
  <si>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</si>
  <si>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</si>
  <si>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</si>
  <si>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</si>
  <si>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</si>
  <si>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</si>
  <si>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</si>
  <si>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</si>
  <si>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</si>
  <si>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</si>
  <si>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</si>
  <si>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</si>
  <si>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</si>
  <si>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</si>
  <si>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</si>
  <si>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</si>
  <si>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</si>
  <si>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</si>
  <si>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</si>
  <si>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</si>
  <si>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</si>
  <si>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</si>
  <si>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</si>
  <si>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</si>
  <si>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</si>
  <si>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</si>
  <si>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</si>
  <si>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</si>
  <si>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</si>
  <si>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</si>
  <si>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</si>
  <si>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</si>
  <si>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</si>
  <si>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</si>
  <si>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</si>
  <si>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</si>
  <si>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</si>
  <si>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</si>
  <si>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</si>
  <si>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</si>
  <si>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</si>
  <si>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</si>
  <si>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</si>
  <si>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</si>
  <si>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</si>
  <si>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</si>
  <si>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</si>
  <si>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</si>
  <si>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</si>
  <si>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</si>
  <si>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</si>
  <si>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</si>
  <si>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</si>
  <si>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</si>
  <si>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</si>
  <si>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</si>
  <si>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</si>
  <si>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</si>
  <si>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</si>
  <si>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</si>
  <si>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</si>
  <si>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</si>
  <si>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</si>
  <si>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</si>
  <si>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</si>
  <si>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</si>
  <si>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</si>
  <si>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</si>
  <si>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</si>
  <si>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</si>
  <si>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</si>
  <si>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</si>
  <si>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</si>
  <si>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</si>
  <si>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</si>
  <si>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</si>
  <si>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</si>
  <si>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</si>
  <si>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</si>
  <si>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</si>
  <si>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</si>
  <si>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</si>
  <si>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</si>
  <si>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</si>
  <si>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</si>
  <si>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</si>
  <si>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</si>
  <si>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</si>
  <si>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</si>
  <si>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</si>
  <si>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</si>
  <si>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</si>
  <si>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</si>
  <si>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</si>
  <si>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</si>
  <si>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</si>
  <si>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</si>
  <si>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</si>
  <si>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</si>
  <si>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</si>
  <si>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</si>
  <si>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</si>
  <si>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</si>
  <si>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</si>
  <si>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</si>
  <si>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</si>
  <si>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</si>
  <si>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</si>
  <si>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</si>
  <si>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</si>
  <si>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</si>
  <si>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</si>
  <si>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</si>
  <si>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</si>
  <si>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</si>
  <si>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</si>
  <si>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</si>
  <si>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</si>
  <si>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</si>
  <si>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</si>
  <si>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</si>
  <si>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</si>
  <si>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</si>
  <si>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</si>
  <si>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</si>
  <si>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</si>
  <si>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</si>
  <si>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</si>
  <si>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</si>
  <si>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</si>
  <si>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</si>
  <si>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</si>
  <si>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</si>
  <si>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</si>
  <si>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</si>
  <si>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</si>
  <si>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</si>
  <si>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</si>
  <si>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</si>
  <si>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</si>
  <si>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</si>
  <si>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</si>
  <si>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</si>
  <si>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</si>
  <si>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</si>
  <si>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</si>
  <si>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</si>
  <si>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</si>
  <si>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</si>
  <si>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</si>
  <si>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</si>
  <si>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</si>
  <si>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</si>
  <si>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</si>
  <si>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</si>
  <si>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</si>
  <si>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</si>
  <si>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</si>
  <si>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</si>
  <si>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</si>
  <si>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</si>
  <si>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</si>
  <si>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</si>
  <si>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</si>
  <si>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</si>
  <si>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</si>
  <si>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</si>
  <si>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</si>
  <si>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</si>
  <si>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</si>
  <si>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</si>
  <si>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</si>
  <si>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</si>
  <si>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</si>
  <si>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</si>
  <si>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</si>
  <si>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</si>
  <si>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</si>
  <si>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</si>
  <si>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</si>
  <si>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</si>
  <si>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</si>
  <si>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</si>
  <si>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</si>
  <si>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</si>
  <si>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</si>
  <si>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</si>
  <si>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</si>
  <si>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</si>
  <si>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</si>
  <si>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</si>
  <si>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</si>
  <si>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</si>
  <si>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</si>
  <si>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</si>
  <si>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</si>
  <si>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</si>
  <si>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</si>
  <si>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</si>
  <si>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</si>
  <si>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</si>
  <si>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</si>
  <si>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</si>
  <si>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</si>
  <si>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</si>
  <si>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</si>
  <si>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</si>
  <si>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</si>
  <si>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</si>
  <si>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</si>
  <si>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</si>
  <si>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</si>
  <si>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</si>
  <si>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</si>
  <si>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</si>
  <si>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</si>
  <si>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</si>
  <si>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</si>
  <si>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</si>
  <si>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</si>
  <si>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</si>
  <si>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</si>
  <si>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</si>
  <si>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</si>
  <si>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</si>
  <si>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</si>
  <si>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</si>
  <si>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</si>
  <si>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</si>
  <si>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</si>
  <si>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</si>
  <si>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</si>
  <si>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</si>
  <si>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</si>
  <si>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</si>
  <si>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</si>
  <si>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</si>
  <si>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</si>
  <si>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</si>
  <si>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</si>
  <si>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</si>
  <si>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</si>
  <si>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</si>
  <si>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</si>
  <si>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</si>
  <si>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</si>
  <si>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</si>
  <si>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</si>
  <si>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</si>
  <si>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</si>
  <si>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</si>
  <si>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</si>
  <si>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</si>
  <si>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</si>
  <si>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</si>
  <si>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</si>
  <si>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</si>
  <si>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</si>
  <si>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</si>
  <si>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</si>
  <si>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</si>
  <si>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</si>
  <si>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</si>
  <si>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</si>
  <si>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</si>
  <si>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</si>
  <si>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</si>
  <si>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</si>
  <si>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</si>
  <si>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</si>
  <si>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</si>
  <si>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</si>
  <si>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</si>
  <si>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</si>
  <si>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</si>
  <si>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</si>
  <si>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</si>
  <si>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</si>
  <si>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</si>
  <si>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</si>
  <si>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</si>
  <si>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</si>
  <si>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</si>
  <si>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</si>
  <si>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</si>
  <si>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</si>
  <si>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</si>
  <si>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</si>
  <si>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</si>
  <si>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</si>
  <si>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</si>
  <si>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</si>
  <si>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</si>
  <si>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</si>
  <si>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</si>
  <si>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</si>
  <si>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</si>
  <si>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</si>
  <si>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</si>
  <si>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</si>
  <si>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</si>
  <si>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</si>
  <si>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</si>
  <si>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</si>
  <si>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</si>
  <si>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</si>
  <si>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</si>
  <si>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</si>
  <si>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</si>
  <si>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</si>
  <si>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</si>
  <si>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</si>
  <si>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</si>
  <si>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</si>
  <si>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</si>
  <si>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</si>
  <si>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</si>
  <si>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</si>
  <si>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</si>
  <si>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</si>
  <si>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</si>
  <si>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</si>
  <si>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</si>
  <si>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</si>
  <si>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</si>
  <si>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</si>
  <si>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</si>
  <si>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</si>
  <si>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</si>
  <si>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</si>
  <si>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</si>
  <si>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</si>
  <si>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</si>
  <si>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</si>
  <si>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</si>
  <si>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</si>
  <si>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</si>
  <si>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</si>
  <si>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</si>
  <si>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</si>
  <si>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</si>
  <si>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</si>
  <si>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</si>
  <si>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</si>
  <si>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</si>
  <si>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</si>
  <si>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</si>
  <si>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</si>
  <si>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</si>
  <si>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</si>
  <si>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</si>
  <si>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</si>
  <si>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</si>
  <si>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</si>
  <si>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</si>
  <si>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</si>
  <si>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</si>
  <si>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</si>
  <si>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</si>
  <si>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</si>
  <si>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</si>
  <si>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</si>
  <si>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</si>
  <si>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</si>
  <si>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</si>
  <si>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</si>
  <si>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</si>
  <si>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</si>
  <si>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</si>
  <si>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</si>
  <si>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</si>
  <si>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</si>
  <si>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</si>
  <si>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</si>
  <si>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</si>
  <si>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</si>
  <si>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</si>
  <si>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</si>
  <si>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</si>
  <si>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</si>
  <si>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</si>
  <si>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</si>
  <si>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</si>
  <si>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</si>
  <si>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</si>
  <si>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</si>
  <si>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</si>
  <si>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</si>
  <si>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</si>
  <si>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</si>
  <si>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</si>
  <si>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</si>
  <si>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</si>
  <si>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</si>
  <si>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</si>
  <si>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</si>
  <si>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</si>
  <si>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</si>
  <si>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</si>
  <si>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</si>
  <si>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</si>
  <si>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</si>
  <si>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</si>
  <si>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</si>
  <si>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</si>
  <si>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</si>
  <si>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</si>
  <si>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</si>
  <si>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</si>
  <si>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</si>
  <si>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</si>
  <si>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</si>
  <si>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</si>
  <si>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</si>
  <si>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</si>
  <si>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</si>
  <si>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</si>
  <si>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</si>
  <si>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</si>
  <si>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</si>
  <si>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</si>
  <si>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</si>
  <si>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</si>
  <si>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</si>
  <si>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</si>
  <si>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</si>
  <si>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</si>
  <si>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</si>
  <si>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</si>
  <si>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</si>
  <si>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</si>
  <si>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</si>
  <si>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</si>
  <si>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</si>
  <si>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</si>
  <si>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</si>
  <si>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</si>
  <si>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</si>
  <si>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</si>
  <si>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</si>
  <si>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</si>
  <si>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</si>
  <si>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</si>
  <si>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</si>
  <si>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</si>
  <si>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</si>
  <si>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</si>
  <si>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</si>
  <si>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</si>
  <si>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</si>
  <si>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</si>
  <si>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</si>
  <si>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</si>
  <si>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</si>
  <si>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</si>
  <si>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</si>
  <si>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</si>
  <si>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</si>
  <si>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</si>
  <si>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</si>
  <si>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</si>
  <si>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</si>
  <si>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</si>
  <si>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</si>
  <si>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</si>
  <si>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</si>
  <si>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</si>
  <si>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</si>
  <si>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</si>
  <si>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</si>
  <si>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</si>
  <si>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</si>
  <si>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</si>
  <si>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</si>
  <si>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</si>
  <si>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</si>
  <si>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</si>
  <si>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</si>
  <si>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</si>
  <si>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</si>
  <si>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</si>
  <si>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</si>
  <si>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</si>
  <si>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</si>
  <si>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</si>
  <si>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</si>
  <si>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</si>
  <si>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</si>
  <si>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</si>
  <si>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</si>
  <si>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</si>
  <si>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</si>
  <si>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</si>
  <si>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</si>
  <si>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</si>
  <si>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</si>
  <si>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</si>
  <si>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</si>
  <si>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</si>
  <si>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</si>
  <si>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</si>
  <si>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</si>
  <si>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</si>
  <si>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</si>
  <si>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</si>
  <si>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</si>
  <si>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</si>
  <si>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</si>
  <si>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</si>
  <si>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</si>
  <si>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</si>
  <si>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</si>
  <si>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</si>
  <si>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</si>
  <si>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</si>
  <si>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</si>
  <si>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</si>
  <si>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</si>
  <si>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</si>
  <si>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</si>
  <si>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</si>
  <si>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</si>
  <si>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</si>
  <si>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</si>
  <si>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</si>
  <si>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</si>
  <si>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</si>
  <si>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</si>
  <si>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</si>
  <si>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</si>
  <si>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</si>
  <si>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</si>
  <si>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</si>
  <si>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</si>
  <si>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</si>
  <si>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</si>
  <si>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</si>
  <si>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</si>
  <si>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</si>
  <si>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</si>
  <si>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</si>
  <si>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</si>
  <si>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</si>
  <si>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</si>
  <si>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</si>
  <si>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</si>
  <si>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</si>
  <si>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</si>
  <si>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</si>
  <si>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</si>
  <si>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</si>
  <si>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</si>
  <si>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</si>
  <si>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</si>
  <si>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</si>
  <si>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</si>
  <si>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</si>
  <si>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</si>
  <si>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</si>
  <si>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</si>
  <si>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</si>
  <si>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</si>
  <si>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</si>
  <si>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</si>
  <si>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</si>
  <si>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</si>
  <si>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</si>
  <si>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</si>
  <si>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</si>
  <si>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</si>
  <si>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</si>
  <si>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</si>
  <si>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</si>
  <si>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</si>
  <si>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</si>
  <si>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</si>
  <si>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</si>
  <si>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</si>
  <si>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</si>
  <si>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</si>
  <si>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</si>
  <si>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</si>
  <si>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</si>
  <si>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</si>
  <si>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</si>
  <si>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</si>
  <si>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</si>
  <si>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</si>
  <si>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</si>
  <si>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</si>
  <si>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</si>
  <si>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</si>
  <si>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</si>
  <si>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</si>
  <si>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</si>
  <si>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</si>
  <si>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</si>
  <si>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</si>
  <si>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</si>
  <si>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</si>
  <si>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</si>
  <si>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</si>
  <si>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</si>
  <si>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</si>
  <si>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</si>
  <si>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</si>
  <si>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</si>
  <si>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</si>
  <si>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</si>
  <si>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</si>
  <si>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</si>
  <si>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</si>
  <si>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</si>
  <si>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</si>
  <si>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</si>
  <si>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</si>
  <si>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</si>
  <si>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</si>
  <si>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</si>
  <si>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</si>
  <si>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</si>
  <si>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</si>
  <si>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</si>
  <si>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</si>
  <si>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</si>
  <si>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</si>
  <si>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</si>
  <si>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</si>
  <si>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</si>
  <si>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</si>
  <si>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</si>
  <si>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</si>
  <si>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</si>
  <si>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</si>
  <si>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</si>
  <si>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</si>
  <si>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</si>
  <si>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</si>
  <si>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</si>
  <si>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</si>
  <si>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</si>
  <si>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</si>
  <si>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</si>
  <si>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</si>
  <si>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</si>
  <si>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</si>
  <si>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</si>
  <si>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</si>
  <si>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</si>
  <si>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</si>
  <si>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</si>
  <si>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</si>
  <si>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</si>
  <si>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</si>
  <si>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</si>
  <si>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</si>
  <si>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</si>
  <si>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</si>
  <si>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</si>
  <si>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</si>
  <si>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</si>
  <si>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</si>
  <si>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</si>
  <si>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</si>
  <si>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</si>
  <si>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</si>
  <si>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</si>
  <si>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</si>
  <si>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</si>
  <si>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</si>
  <si>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</si>
  <si>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</si>
  <si>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</si>
  <si>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</si>
  <si>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</si>
  <si>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</si>
  <si>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</si>
  <si>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</si>
  <si>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</si>
  <si>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</si>
  <si>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</si>
  <si>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</si>
  <si>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</si>
  <si>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</si>
  <si>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</si>
  <si>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</si>
  <si>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</si>
  <si>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</si>
  <si>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</si>
  <si>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</si>
  <si>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</si>
  <si>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</si>
  <si>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</si>
  <si>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</si>
  <si>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</si>
  <si>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</si>
  <si>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</si>
  <si>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</si>
  <si>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</si>
  <si>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</si>
  <si>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</si>
  <si>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</si>
  <si>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</si>
  <si>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</si>
  <si>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</si>
  <si>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</si>
  <si>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</si>
  <si>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</si>
  <si>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</si>
  <si>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</si>
  <si>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</si>
  <si>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</si>
  <si>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</si>
  <si>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</si>
  <si>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</si>
  <si>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</si>
  <si>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</si>
  <si>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</si>
  <si>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</si>
  <si>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</si>
  <si>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</si>
  <si>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</si>
  <si>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</si>
  <si>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</si>
  <si>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</si>
  <si>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</si>
  <si>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</si>
  <si>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</si>
  <si>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</si>
  <si>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</si>
  <si>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</si>
  <si>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</si>
  <si>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</si>
  <si>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</si>
  <si>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</si>
  <si>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</si>
  <si>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</si>
  <si>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</si>
  <si>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</si>
  <si>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</si>
  <si>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</si>
  <si>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</si>
  <si>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</si>
  <si>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</si>
  <si>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</si>
  <si>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</si>
  <si>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</si>
  <si>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</si>
  <si>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</si>
  <si>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</si>
  <si>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</si>
  <si>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</si>
  <si>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</si>
  <si>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</si>
  <si>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</si>
  <si>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</si>
  <si>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</si>
  <si>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</si>
  <si>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</si>
  <si>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</si>
  <si>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</si>
  <si>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</si>
  <si>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</si>
  <si>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</si>
  <si>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</si>
  <si>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</si>
  <si>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</si>
  <si>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</si>
  <si>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</si>
  <si>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</si>
  <si>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</si>
  <si>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</si>
  <si>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</si>
  <si>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</si>
  <si>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</si>
  <si>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</si>
  <si>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</si>
  <si>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</si>
  <si>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7/95</t>
  </si>
  <si>
    <t>8/15</t>
  </si>
  <si>
    <t>6/10</t>
  </si>
  <si>
    <t>9/26</t>
  </si>
  <si>
    <t>QSCB</t>
  </si>
  <si>
    <t>7/10</t>
  </si>
  <si>
    <t>10/26</t>
  </si>
  <si>
    <t>Salem School District  SAU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</si>
</sst>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916</v>
      </c>
      <c r="B2" s="21">
        <v>473</v>
      </c>
      <c r="C2" s="21">
        <v>473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1495097.13</v>
      </c>
      <c r="G9" s="18">
        <v>72279.75</v>
      </c>
      <c r="H9" s="18"/>
      <c r="I9" s="18">
        <f>291105.62-1688.74</f>
        <v>289416.88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123550.44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364063.85</v>
      </c>
      <c r="G12" s="18">
        <v>316261.86</v>
      </c>
      <c r="H12" s="18">
        <v>140123.62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20753.54+21501.67</f>
        <v>42255.21</v>
      </c>
      <c r="H13" s="18">
        <v>391706.07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120645.54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1979806.52</v>
      </c>
      <c r="G19" s="41">
        <f>SUM(G9:G18)</f>
        <v>430796.82</v>
      </c>
      <c r="H19" s="41">
        <f>SUM(H9:H18)</f>
        <v>531829.68999999994</v>
      </c>
      <c r="I19" s="41">
        <f>SUM(I9:I18)</f>
        <v>289416.88</v>
      </c>
      <c r="J19" s="41">
        <f>SUM(J9:J18)</f>
        <v>123550.44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140123.62+316261.86</f>
        <v>456385.48</v>
      </c>
      <c r="G22" s="18"/>
      <c r="H22" s="18">
        <v>364063.85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296908.3+1659.26</f>
        <v>298567.56</v>
      </c>
      <c r="G24" s="18">
        <v>2564.1999999999998</v>
      </c>
      <c r="H24" s="18">
        <v>18173.599999999999</v>
      </c>
      <c r="I24" s="18">
        <v>177000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89523.78-1659.26</f>
        <v>87864.52</v>
      </c>
      <c r="G29" s="18">
        <v>717.79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842817.56</v>
      </c>
      <c r="G32" s="41">
        <f>SUM(G22:G31)</f>
        <v>3281.99</v>
      </c>
      <c r="H32" s="41">
        <f>SUM(H22:H31)</f>
        <v>382237.44999999995</v>
      </c>
      <c r="I32" s="41">
        <f>SUM(I22:I31)</f>
        <v>177000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f>79563.53+12054.22</f>
        <v>91617.75</v>
      </c>
      <c r="G47" s="18">
        <f>G19-G32-G35</f>
        <v>427514.83</v>
      </c>
      <c r="H47" s="18">
        <f>9466.62+140123.62+2-3200</f>
        <v>146392.24</v>
      </c>
      <c r="I47" s="18">
        <v>112416.88</v>
      </c>
      <c r="J47" s="13">
        <f>SUM(I458)</f>
        <v>123550.44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253357.45</v>
      </c>
      <c r="G48" s="18"/>
      <c r="H48" s="18">
        <v>3200</v>
      </c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F19-F32-F47-F48</f>
        <v>792013.76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1136988.96</v>
      </c>
      <c r="G50" s="41">
        <f>SUM(G35:G49)</f>
        <v>427514.83</v>
      </c>
      <c r="H50" s="41">
        <f>SUM(H35:H49)</f>
        <v>149592.24</v>
      </c>
      <c r="I50" s="41">
        <f>SUM(I35:I49)</f>
        <v>112416.88</v>
      </c>
      <c r="J50" s="41">
        <f>SUM(J35:J49)</f>
        <v>123550.44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1979806.52</v>
      </c>
      <c r="G51" s="41">
        <f>G50+G32</f>
        <v>430796.82</v>
      </c>
      <c r="H51" s="41">
        <f>H50+H32</f>
        <v>531829.68999999994</v>
      </c>
      <c r="I51" s="41">
        <f>I50+I32</f>
        <v>289416.88</v>
      </c>
      <c r="J51" s="41">
        <f>J50+J32</f>
        <v>123550.44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35804128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35804128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121961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31251.74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85000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70198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49609.16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59572.39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74015.710000000006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4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51000</v>
      </c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542608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484.21</v>
      </c>
      <c r="G95" s="18">
        <v>320.68</v>
      </c>
      <c r="H95" s="18"/>
      <c r="I95" s="18">
        <v>8862.11</v>
      </c>
      <c r="J95" s="18">
        <v>53.08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1308803.6499999999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12532.7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1775+1250+500+8000+2000</f>
        <v>13525</v>
      </c>
      <c r="I101" s="18"/>
      <c r="J101" s="18">
        <v>16715</v>
      </c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2072.16+3+149698.19-0.01</f>
        <v>151773.34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164790.25</v>
      </c>
      <c r="G110" s="41">
        <f>SUM(G95:G109)</f>
        <v>1309124.3299999998</v>
      </c>
      <c r="H110" s="41">
        <f>SUM(H95:H109)</f>
        <v>13525</v>
      </c>
      <c r="I110" s="41">
        <f>SUM(I95:I109)</f>
        <v>8862.11</v>
      </c>
      <c r="J110" s="41">
        <f>SUM(J95:J109)</f>
        <v>16768.080000000002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36511526.25</v>
      </c>
      <c r="G111" s="41">
        <f>G59+G110</f>
        <v>1309124.3299999998</v>
      </c>
      <c r="H111" s="41">
        <f>H59+H78+H93+H110</f>
        <v>13525</v>
      </c>
      <c r="I111" s="41">
        <f>I59+I110</f>
        <v>8862.11</v>
      </c>
      <c r="J111" s="41">
        <f>J59+J110</f>
        <v>16768.080000000002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5312719.88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8965888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4603.12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14283210.999999998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540110.69999999995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940039.93</v>
      </c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377775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1090848.1599999999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139950.06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6838.75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21501.67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50610.41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3146173.0100000002</v>
      </c>
      <c r="G135" s="41">
        <f>SUM(G122:G134)</f>
        <v>21501.67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17429384.009999998</v>
      </c>
      <c r="G139" s="41">
        <f>G120+SUM(G135:G136)</f>
        <v>21501.67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58861.34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5693.09+214.16+1969.38+3501.6+332886.52+367749.13</f>
        <v>712013.88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36768.24+92170.68</f>
        <v>128938.91999999998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42289.75+25415.96+1617.13+135079.58</f>
        <v>204402.41999999998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113716.35+54782.74</f>
        <v>168499.09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463570.85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6225.98+12520.86+3796.39+2285.1+3112.7+848274.08+924.47+8174.2+130700.36+2</f>
        <v>1016016.1399999999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483113.93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541975.27</v>
      </c>
      <c r="G161" s="41">
        <f>SUM(G149:G160)</f>
        <v>463570.85</v>
      </c>
      <c r="H161" s="41">
        <f>SUM(H149:H160)</f>
        <v>2229870.4500000002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541975.27</v>
      </c>
      <c r="G168" s="41">
        <f>G146+G161+SUM(G162:G167)</f>
        <v>463570.85</v>
      </c>
      <c r="H168" s="41">
        <f>H146+H161+SUM(H162:H167)</f>
        <v>2229870.4500000002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12054.22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12054.22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68.22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68.22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12122.439999999999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54495007.969999999</v>
      </c>
      <c r="G192" s="47">
        <f>G111+G139+G168+G191</f>
        <v>1794196.8499999996</v>
      </c>
      <c r="H192" s="47">
        <f>H111+H139+H168+H191</f>
        <v>2243395.4500000002</v>
      </c>
      <c r="I192" s="47">
        <f>I111+I139+I168+I191</f>
        <v>8862.11</v>
      </c>
      <c r="J192" s="47">
        <f>J111+J139+J191</f>
        <v>16768.080000000002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6387313.1299999999</v>
      </c>
      <c r="G196" s="18">
        <f>345+2665651.67</f>
        <v>2665996.67</v>
      </c>
      <c r="H196" s="18">
        <v>626.83000000000004</v>
      </c>
      <c r="I196" s="18">
        <v>253480.65</v>
      </c>
      <c r="J196" s="18">
        <v>49211.89</v>
      </c>
      <c r="K196" s="18">
        <v>135</v>
      </c>
      <c r="L196" s="19">
        <f>SUM(F196:K196)</f>
        <v>9356764.1700000018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2451642.16</v>
      </c>
      <c r="G197" s="18">
        <v>587356.96</v>
      </c>
      <c r="H197" s="18">
        <v>1158715.77</v>
      </c>
      <c r="I197" s="18">
        <f>116.6+18763.95</f>
        <v>18880.55</v>
      </c>
      <c r="J197" s="18"/>
      <c r="K197" s="18">
        <v>617.15</v>
      </c>
      <c r="L197" s="19">
        <f>SUM(F197:K197)</f>
        <v>4217212.5900000008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14264.4</v>
      </c>
      <c r="G199" s="18">
        <v>2703.38</v>
      </c>
      <c r="H199" s="18"/>
      <c r="I199" s="18"/>
      <c r="J199" s="18"/>
      <c r="K199" s="18"/>
      <c r="L199" s="19">
        <f>SUM(F199:K199)</f>
        <v>16967.78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1415475.74</v>
      </c>
      <c r="G201" s="18">
        <v>616122.12</v>
      </c>
      <c r="H201" s="18">
        <v>19890.310000000001</v>
      </c>
      <c r="I201" s="18">
        <v>21221.27</v>
      </c>
      <c r="J201" s="18"/>
      <c r="K201" s="18"/>
      <c r="L201" s="19">
        <f t="shared" ref="L201:L207" si="0">SUM(F201:K201)</f>
        <v>2072709.44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408014.21</v>
      </c>
      <c r="G202" s="18">
        <v>133756.35999999999</v>
      </c>
      <c r="H202" s="18">
        <v>34229.440000000002</v>
      </c>
      <c r="I202" s="18">
        <v>118464.32000000001</v>
      </c>
      <c r="J202" s="18">
        <v>87614.8</v>
      </c>
      <c r="K202" s="18">
        <v>160</v>
      </c>
      <c r="L202" s="19">
        <f t="shared" si="0"/>
        <v>782239.13000000012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206823.96</v>
      </c>
      <c r="G203" s="18">
        <v>91205.759999999995</v>
      </c>
      <c r="H203" s="18">
        <v>39139.620000000003</v>
      </c>
      <c r="I203" s="18">
        <v>4954.8500000000004</v>
      </c>
      <c r="J203" s="18"/>
      <c r="K203" s="18">
        <v>4680.12</v>
      </c>
      <c r="L203" s="19">
        <f t="shared" si="0"/>
        <v>346804.30999999994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754648.61</v>
      </c>
      <c r="G204" s="18">
        <v>344890.51</v>
      </c>
      <c r="H204" s="18">
        <v>97198.47</v>
      </c>
      <c r="I204" s="18">
        <f>142.37+12303.06</f>
        <v>12445.43</v>
      </c>
      <c r="J204" s="18"/>
      <c r="K204" s="18">
        <v>3956</v>
      </c>
      <c r="L204" s="19">
        <f t="shared" si="0"/>
        <v>1213139.02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91424.65</v>
      </c>
      <c r="G205" s="18">
        <v>39054.660000000003</v>
      </c>
      <c r="H205" s="18">
        <v>6523.44</v>
      </c>
      <c r="I205" s="18"/>
      <c r="J205" s="18"/>
      <c r="K205" s="18"/>
      <c r="L205" s="19">
        <f t="shared" si="0"/>
        <v>137002.75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482851.64</v>
      </c>
      <c r="G206" s="18">
        <v>185223.93</v>
      </c>
      <c r="H206" s="18">
        <v>541551.82999999996</v>
      </c>
      <c r="I206" s="18">
        <v>454618.53</v>
      </c>
      <c r="J206" s="18">
        <v>11570.88</v>
      </c>
      <c r="K206" s="18"/>
      <c r="L206" s="19">
        <f t="shared" si="0"/>
        <v>1675816.8099999998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939001.62</v>
      </c>
      <c r="I207" s="18"/>
      <c r="J207" s="18"/>
      <c r="K207" s="18"/>
      <c r="L207" s="19">
        <f t="shared" si="0"/>
        <v>939001.62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15808.87</v>
      </c>
      <c r="G208" s="18">
        <v>6419.86</v>
      </c>
      <c r="H208" s="18">
        <v>18336.060000000001</v>
      </c>
      <c r="I208" s="18">
        <v>5039.26</v>
      </c>
      <c r="J208" s="18"/>
      <c r="K208" s="18"/>
      <c r="L208" s="19">
        <f>SUM(F208:K208)</f>
        <v>45604.05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12228267.370000001</v>
      </c>
      <c r="G210" s="41">
        <f t="shared" si="1"/>
        <v>4672730.21</v>
      </c>
      <c r="H210" s="41">
        <f t="shared" si="1"/>
        <v>2855213.39</v>
      </c>
      <c r="I210" s="41">
        <f t="shared" si="1"/>
        <v>889104.8600000001</v>
      </c>
      <c r="J210" s="41">
        <f t="shared" si="1"/>
        <v>148397.57</v>
      </c>
      <c r="K210" s="41">
        <f t="shared" si="1"/>
        <v>9548.27</v>
      </c>
      <c r="L210" s="41">
        <f t="shared" si="1"/>
        <v>20803261.670000002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3738482.98</v>
      </c>
      <c r="G214" s="18">
        <v>1608677.99</v>
      </c>
      <c r="H214" s="18">
        <v>627.21</v>
      </c>
      <c r="I214" s="18">
        <v>122013.83</v>
      </c>
      <c r="J214" s="18">
        <v>38521.11</v>
      </c>
      <c r="K214" s="18"/>
      <c r="L214" s="19">
        <f>SUM(F214:K214)</f>
        <v>5508323.1200000001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1115002.02</v>
      </c>
      <c r="G215" s="18">
        <v>331519.76</v>
      </c>
      <c r="H215" s="18">
        <v>109777.97</v>
      </c>
      <c r="I215" s="18">
        <v>6785.78</v>
      </c>
      <c r="J215" s="18"/>
      <c r="K215" s="18">
        <v>373.7</v>
      </c>
      <c r="L215" s="19">
        <f>SUM(F215:K215)</f>
        <v>1563459.23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53439.61</v>
      </c>
      <c r="G217" s="18">
        <v>15961.94</v>
      </c>
      <c r="H217" s="18">
        <v>4295</v>
      </c>
      <c r="I217" s="18">
        <f>300+4962.73</f>
        <v>5262.73</v>
      </c>
      <c r="J217" s="18"/>
      <c r="K217" s="18">
        <v>770</v>
      </c>
      <c r="L217" s="19">
        <f>SUM(F217:K217)</f>
        <v>79729.279999999999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424588.91</v>
      </c>
      <c r="G219" s="18">
        <v>168601.84</v>
      </c>
      <c r="H219" s="18">
        <f>1325+9370.9</f>
        <v>10695.9</v>
      </c>
      <c r="I219" s="18">
        <v>10835.69</v>
      </c>
      <c r="J219" s="18"/>
      <c r="K219" s="18"/>
      <c r="L219" s="19">
        <f t="shared" ref="L219:L225" si="2">SUM(F219:K219)</f>
        <v>614722.34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260938.59</v>
      </c>
      <c r="G220" s="18">
        <v>105659.7</v>
      </c>
      <c r="H220" s="18">
        <v>20727.169999999998</v>
      </c>
      <c r="I220" s="18">
        <v>64940.17</v>
      </c>
      <c r="J220" s="18">
        <v>51565.68</v>
      </c>
      <c r="K220" s="18"/>
      <c r="L220" s="19">
        <f t="shared" si="2"/>
        <v>503831.30999999994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125239.42</v>
      </c>
      <c r="G221" s="18">
        <v>57003.6</v>
      </c>
      <c r="H221" s="18">
        <v>23700.46</v>
      </c>
      <c r="I221" s="18">
        <v>3000.34</v>
      </c>
      <c r="J221" s="18"/>
      <c r="K221" s="18">
        <v>2833.98</v>
      </c>
      <c r="L221" s="19">
        <f t="shared" si="2"/>
        <v>211777.8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343256.55</v>
      </c>
      <c r="G222" s="18">
        <v>152534.68</v>
      </c>
      <c r="H222" s="18">
        <v>64359.83</v>
      </c>
      <c r="I222" s="18">
        <f>5+10052.7</f>
        <v>10057.700000000001</v>
      </c>
      <c r="J222" s="18"/>
      <c r="K222" s="18">
        <v>364</v>
      </c>
      <c r="L222" s="19">
        <f t="shared" si="2"/>
        <v>570572.75999999989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55360.95</v>
      </c>
      <c r="G223" s="18">
        <v>24409.16</v>
      </c>
      <c r="H223" s="18">
        <v>3950.18</v>
      </c>
      <c r="I223" s="18"/>
      <c r="J223" s="18"/>
      <c r="K223" s="18"/>
      <c r="L223" s="19">
        <f t="shared" si="2"/>
        <v>83720.289999999994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212298.89</v>
      </c>
      <c r="G224" s="18">
        <v>81953.05</v>
      </c>
      <c r="H224" s="18">
        <v>210538.98</v>
      </c>
      <c r="I224" s="18">
        <v>206415.88</v>
      </c>
      <c r="J224" s="18">
        <v>7006.59</v>
      </c>
      <c r="K224" s="18"/>
      <c r="L224" s="19">
        <f t="shared" si="2"/>
        <v>718213.39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576342.1</v>
      </c>
      <c r="I225" s="18"/>
      <c r="J225" s="18"/>
      <c r="K225" s="18"/>
      <c r="L225" s="19">
        <f t="shared" si="2"/>
        <v>576342.1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9572.84</v>
      </c>
      <c r="G226" s="18">
        <v>4012.41</v>
      </c>
      <c r="H226" s="18">
        <v>11103.15</v>
      </c>
      <c r="I226" s="18">
        <v>3051.46</v>
      </c>
      <c r="J226" s="18"/>
      <c r="K226" s="18"/>
      <c r="L226" s="19">
        <f>SUM(F226:K226)</f>
        <v>27739.86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6338180.7599999998</v>
      </c>
      <c r="G228" s="41">
        <f>SUM(G214:G227)</f>
        <v>2550334.1300000004</v>
      </c>
      <c r="H228" s="41">
        <f>SUM(H214:H227)</f>
        <v>1036117.95</v>
      </c>
      <c r="I228" s="41">
        <f>SUM(I214:I227)</f>
        <v>432363.58</v>
      </c>
      <c r="J228" s="41">
        <f>SUM(J214:J227)</f>
        <v>97093.38</v>
      </c>
      <c r="K228" s="41">
        <f t="shared" si="3"/>
        <v>4341.68</v>
      </c>
      <c r="L228" s="41">
        <f t="shared" si="3"/>
        <v>10458431.479999999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5821296.0800000001</v>
      </c>
      <c r="G232" s="18">
        <v>2502750.7999999998</v>
      </c>
      <c r="H232" s="18">
        <v>28089.45</v>
      </c>
      <c r="I232" s="18">
        <v>235647.56</v>
      </c>
      <c r="J232" s="18">
        <v>60344.21</v>
      </c>
      <c r="K232" s="18">
        <v>25</v>
      </c>
      <c r="L232" s="19">
        <f>SUM(F232:K232)</f>
        <v>8648153.1000000015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1260921.4099999999</v>
      </c>
      <c r="G233" s="18">
        <v>394210.34</v>
      </c>
      <c r="H233" s="18">
        <v>1909816.11</v>
      </c>
      <c r="I233" s="18">
        <v>6542.31</v>
      </c>
      <c r="J233" s="18"/>
      <c r="K233" s="18">
        <v>533.15</v>
      </c>
      <c r="L233" s="19">
        <f>SUM(F233:K233)</f>
        <v>3572023.3200000003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1026178.61</v>
      </c>
      <c r="G234" s="18">
        <v>433930.4</v>
      </c>
      <c r="H234" s="18">
        <v>39282.400000000001</v>
      </c>
      <c r="I234" s="18">
        <v>96091.5</v>
      </c>
      <c r="J234" s="18"/>
      <c r="K234" s="18">
        <v>169</v>
      </c>
      <c r="L234" s="19">
        <f>SUM(F234:K234)</f>
        <v>1595651.91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447838.69</v>
      </c>
      <c r="G235" s="18">
        <v>175410.79</v>
      </c>
      <c r="H235" s="18">
        <v>140323.1</v>
      </c>
      <c r="I235" s="18">
        <v>70299.259999999995</v>
      </c>
      <c r="J235" s="18"/>
      <c r="K235" s="18">
        <v>12661.5</v>
      </c>
      <c r="L235" s="19">
        <f>SUM(F235:K235)</f>
        <v>846533.34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700926.96</v>
      </c>
      <c r="G237" s="18">
        <v>273004.17</v>
      </c>
      <c r="H237" s="18">
        <v>18098.400000000001</v>
      </c>
      <c r="I237" s="18">
        <f>1371.79+18328.96</f>
        <v>19700.75</v>
      </c>
      <c r="J237" s="18"/>
      <c r="K237" s="18">
        <v>475</v>
      </c>
      <c r="L237" s="19">
        <f t="shared" ref="L237:L243" si="4">SUM(F237:K237)</f>
        <v>1012205.2799999999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301997.88</v>
      </c>
      <c r="G238" s="18">
        <v>115529.83</v>
      </c>
      <c r="H238" s="18">
        <v>29570.76</v>
      </c>
      <c r="I238" s="18">
        <f>1673.09+107494.17</f>
        <v>109167.26</v>
      </c>
      <c r="J238" s="18">
        <v>73567.039999999994</v>
      </c>
      <c r="K238" s="18">
        <v>89</v>
      </c>
      <c r="L238" s="19">
        <f t="shared" si="4"/>
        <v>629921.77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178674.91</v>
      </c>
      <c r="G239" s="18">
        <v>79805.039999999994</v>
      </c>
      <c r="H239" s="18">
        <v>33812.660000000003</v>
      </c>
      <c r="I239" s="18">
        <v>4280.49</v>
      </c>
      <c r="J239" s="18"/>
      <c r="K239" s="18">
        <v>4043.15</v>
      </c>
      <c r="L239" s="19">
        <f t="shared" si="4"/>
        <v>300616.25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596777.74</v>
      </c>
      <c r="G240" s="18">
        <v>265057.58</v>
      </c>
      <c r="H240" s="18">
        <v>106997.84</v>
      </c>
      <c r="I240" s="18">
        <v>23075.55</v>
      </c>
      <c r="J240" s="18"/>
      <c r="K240" s="18">
        <v>4922</v>
      </c>
      <c r="L240" s="19">
        <f t="shared" si="4"/>
        <v>996830.71000000008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78981.62</v>
      </c>
      <c r="G241" s="18">
        <v>34172.83</v>
      </c>
      <c r="H241" s="18">
        <v>5635.59</v>
      </c>
      <c r="I241" s="18"/>
      <c r="J241" s="18"/>
      <c r="K241" s="18"/>
      <c r="L241" s="19">
        <f t="shared" si="4"/>
        <v>118790.04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591320.38</v>
      </c>
      <c r="G242" s="18">
        <v>224003.58</v>
      </c>
      <c r="H242" s="18">
        <v>381330.98</v>
      </c>
      <c r="I242" s="18">
        <v>468809.57</v>
      </c>
      <c r="J242" s="18">
        <v>9996.06</v>
      </c>
      <c r="K242" s="18"/>
      <c r="L242" s="19">
        <f t="shared" si="4"/>
        <v>1675460.57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900782.73</v>
      </c>
      <c r="I243" s="18"/>
      <c r="J243" s="18"/>
      <c r="K243" s="18"/>
      <c r="L243" s="19">
        <f t="shared" si="4"/>
        <v>900782.73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13657.26</v>
      </c>
      <c r="G244" s="18">
        <v>5617.38</v>
      </c>
      <c r="H244" s="18">
        <v>15840.49</v>
      </c>
      <c r="I244" s="18">
        <v>4353.41</v>
      </c>
      <c r="J244" s="18"/>
      <c r="K244" s="18"/>
      <c r="L244" s="19">
        <f>SUM(F244:K244)</f>
        <v>39468.539999999994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11018571.540000001</v>
      </c>
      <c r="G246" s="41">
        <f t="shared" si="5"/>
        <v>4503492.7399999993</v>
      </c>
      <c r="H246" s="41">
        <f t="shared" si="5"/>
        <v>3609580.51</v>
      </c>
      <c r="I246" s="41">
        <f t="shared" si="5"/>
        <v>1037967.66</v>
      </c>
      <c r="J246" s="41">
        <f t="shared" si="5"/>
        <v>143907.31</v>
      </c>
      <c r="K246" s="41">
        <f t="shared" si="5"/>
        <v>22917.8</v>
      </c>
      <c r="L246" s="41">
        <f t="shared" si="5"/>
        <v>20336437.559999999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146462.69</v>
      </c>
      <c r="G250" s="18">
        <v>54781.919999999998</v>
      </c>
      <c r="H250" s="18">
        <v>3516.23</v>
      </c>
      <c r="I250" s="18">
        <v>3499.89</v>
      </c>
      <c r="J250" s="18"/>
      <c r="K250" s="18"/>
      <c r="L250" s="19">
        <f t="shared" si="6"/>
        <v>208260.73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392594</v>
      </c>
      <c r="I254" s="18"/>
      <c r="J254" s="18">
        <v>444007.43</v>
      </c>
      <c r="K254" s="18"/>
      <c r="L254" s="19">
        <f t="shared" si="6"/>
        <v>836601.42999999993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146462.69</v>
      </c>
      <c r="G255" s="41">
        <f t="shared" si="7"/>
        <v>54781.919999999998</v>
      </c>
      <c r="H255" s="41">
        <f t="shared" si="7"/>
        <v>396110.23</v>
      </c>
      <c r="I255" s="41">
        <f t="shared" si="7"/>
        <v>3499.89</v>
      </c>
      <c r="J255" s="41">
        <f t="shared" si="7"/>
        <v>444007.43</v>
      </c>
      <c r="K255" s="41">
        <f t="shared" si="7"/>
        <v>0</v>
      </c>
      <c r="L255" s="41">
        <f>SUM(F255:K255)</f>
        <v>1044862.1599999999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29731482.360000003</v>
      </c>
      <c r="G256" s="41">
        <f t="shared" si="8"/>
        <v>11781338.999999998</v>
      </c>
      <c r="H256" s="41">
        <f t="shared" si="8"/>
        <v>7897022.0800000001</v>
      </c>
      <c r="I256" s="41">
        <f t="shared" si="8"/>
        <v>2362935.9900000002</v>
      </c>
      <c r="J256" s="41">
        <f t="shared" si="8"/>
        <v>833405.69</v>
      </c>
      <c r="K256" s="41">
        <f t="shared" si="8"/>
        <v>36807.75</v>
      </c>
      <c r="L256" s="41">
        <f t="shared" si="8"/>
        <v>52642992.86999999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1632160</v>
      </c>
      <c r="L259" s="19">
        <f>SUM(F259:K259)</f>
        <v>1632160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358082.5</v>
      </c>
      <c r="L260" s="19">
        <f>SUM(F260:K260)</f>
        <v>358082.5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1990242.5</v>
      </c>
      <c r="L269" s="41">
        <f t="shared" si="9"/>
        <v>1990242.5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29731482.360000003</v>
      </c>
      <c r="G270" s="42">
        <f t="shared" si="11"/>
        <v>11781338.999999998</v>
      </c>
      <c r="H270" s="42">
        <f t="shared" si="11"/>
        <v>7897022.0800000001</v>
      </c>
      <c r="I270" s="42">
        <f t="shared" si="11"/>
        <v>2362935.9900000002</v>
      </c>
      <c r="J270" s="42">
        <f t="shared" si="11"/>
        <v>833405.69</v>
      </c>
      <c r="K270" s="42">
        <f t="shared" si="11"/>
        <v>2027050.25</v>
      </c>
      <c r="L270" s="42">
        <f t="shared" si="11"/>
        <v>54633235.36999999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64374.26</v>
      </c>
      <c r="G275" s="18">
        <v>4924.93</v>
      </c>
      <c r="H275" s="18"/>
      <c r="I275" s="18">
        <v>5507.04</v>
      </c>
      <c r="J275" s="18">
        <v>399.99</v>
      </c>
      <c r="K275" s="18"/>
      <c r="L275" s="19">
        <f>SUM(F275:K275)</f>
        <v>75206.22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363550.92</v>
      </c>
      <c r="G276" s="18">
        <v>38825.879999999997</v>
      </c>
      <c r="H276" s="18">
        <v>3342.22</v>
      </c>
      <c r="I276" s="18">
        <v>5569.19</v>
      </c>
      <c r="J276" s="18">
        <v>35670.639999999999</v>
      </c>
      <c r="K276" s="18"/>
      <c r="L276" s="19">
        <f>SUM(F276:K276)</f>
        <v>446958.85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53002.41</v>
      </c>
      <c r="G280" s="18">
        <v>9591.34</v>
      </c>
      <c r="H280" s="18">
        <v>58507.97</v>
      </c>
      <c r="I280" s="18"/>
      <c r="J280" s="18"/>
      <c r="K280" s="18"/>
      <c r="L280" s="19">
        <f t="shared" ref="L280:L286" si="12">SUM(F280:K280)</f>
        <v>121101.72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59646.87</v>
      </c>
      <c r="G281" s="18">
        <v>9740.6</v>
      </c>
      <c r="H281" s="18">
        <v>38873.64</v>
      </c>
      <c r="I281" s="18">
        <v>6930.04</v>
      </c>
      <c r="J281" s="18">
        <v>9312.2900000000009</v>
      </c>
      <c r="K281" s="18">
        <v>200</v>
      </c>
      <c r="L281" s="19">
        <f t="shared" si="12"/>
        <v>124703.44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540574.46</v>
      </c>
      <c r="G289" s="42">
        <f t="shared" si="13"/>
        <v>63082.749999999993</v>
      </c>
      <c r="H289" s="42">
        <f t="shared" si="13"/>
        <v>100723.83</v>
      </c>
      <c r="I289" s="42">
        <f t="shared" si="13"/>
        <v>18006.27</v>
      </c>
      <c r="J289" s="42">
        <f t="shared" si="13"/>
        <v>45382.92</v>
      </c>
      <c r="K289" s="42">
        <f t="shared" si="13"/>
        <v>200</v>
      </c>
      <c r="L289" s="41">
        <f t="shared" si="13"/>
        <v>767970.23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6372.58</v>
      </c>
      <c r="G294" s="18">
        <v>487.5</v>
      </c>
      <c r="H294" s="18">
        <v>2756.44</v>
      </c>
      <c r="I294" s="18">
        <v>17888.12</v>
      </c>
      <c r="J294" s="18"/>
      <c r="K294" s="18"/>
      <c r="L294" s="19">
        <f>SUM(F294:K294)</f>
        <v>27504.639999999999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163084.74</v>
      </c>
      <c r="G295" s="18">
        <v>29801.8</v>
      </c>
      <c r="H295" s="18">
        <v>1115.53</v>
      </c>
      <c r="I295" s="18">
        <v>2849.72</v>
      </c>
      <c r="J295" s="18">
        <v>21599.87</v>
      </c>
      <c r="K295" s="18"/>
      <c r="L295" s="19">
        <f>SUM(F295:K295)</f>
        <v>218451.65999999997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32094.89</v>
      </c>
      <c r="G299" s="18">
        <v>5807.9</v>
      </c>
      <c r="H299" s="18">
        <v>35253.01</v>
      </c>
      <c r="I299" s="18">
        <v>790.56</v>
      </c>
      <c r="J299" s="18"/>
      <c r="K299" s="18"/>
      <c r="L299" s="19">
        <f t="shared" ref="L299:L305" si="14">SUM(F299:K299)</f>
        <v>73946.36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14196.64</v>
      </c>
      <c r="G300" s="18">
        <v>2450.98</v>
      </c>
      <c r="H300" s="18">
        <v>12837.4</v>
      </c>
      <c r="I300" s="18">
        <v>1530.61</v>
      </c>
      <c r="J300" s="18">
        <v>15391.35</v>
      </c>
      <c r="K300" s="18"/>
      <c r="L300" s="19">
        <f t="shared" si="14"/>
        <v>46406.979999999996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215748.84999999998</v>
      </c>
      <c r="G308" s="42">
        <f t="shared" si="15"/>
        <v>38548.18</v>
      </c>
      <c r="H308" s="42">
        <f t="shared" si="15"/>
        <v>51962.380000000005</v>
      </c>
      <c r="I308" s="42">
        <f t="shared" si="15"/>
        <v>23059.010000000002</v>
      </c>
      <c r="J308" s="42">
        <f t="shared" si="15"/>
        <v>36991.22</v>
      </c>
      <c r="K308" s="42">
        <f t="shared" si="15"/>
        <v>0</v>
      </c>
      <c r="L308" s="41">
        <f t="shared" si="15"/>
        <v>366309.63999999996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143326.54999999999</v>
      </c>
      <c r="G313" s="18">
        <v>56489.51</v>
      </c>
      <c r="H313" s="18"/>
      <c r="I313" s="18">
        <v>5568.22</v>
      </c>
      <c r="J313" s="18"/>
      <c r="K313" s="18"/>
      <c r="L313" s="19">
        <f>SUM(F313:K313)</f>
        <v>205384.28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297435.53999999998</v>
      </c>
      <c r="G314" s="18">
        <v>67613.25</v>
      </c>
      <c r="H314" s="18">
        <v>1591.49</v>
      </c>
      <c r="I314" s="18">
        <v>4065.6</v>
      </c>
      <c r="J314" s="18">
        <v>30815.81</v>
      </c>
      <c r="K314" s="18"/>
      <c r="L314" s="19">
        <f>SUM(F314:K314)</f>
        <v>401521.68999999994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3900</v>
      </c>
      <c r="G315" s="18">
        <v>298.35000000000002</v>
      </c>
      <c r="H315" s="18">
        <v>23652.080000000002</v>
      </c>
      <c r="I315" s="18">
        <v>7222.56</v>
      </c>
      <c r="J315" s="18">
        <v>97739.6</v>
      </c>
      <c r="K315" s="18"/>
      <c r="L315" s="19">
        <f>SUM(F315:K315)</f>
        <v>132812.59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48300.92</v>
      </c>
      <c r="G318" s="18">
        <v>8486.16</v>
      </c>
      <c r="H318" s="18">
        <v>56133.27</v>
      </c>
      <c r="I318" s="18">
        <v>90.96</v>
      </c>
      <c r="J318" s="18"/>
      <c r="K318" s="18"/>
      <c r="L318" s="19">
        <f t="shared" ref="L318:L324" si="16">SUM(F318:K318)</f>
        <v>113011.31000000001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50321.87</v>
      </c>
      <c r="G319" s="18">
        <v>7168.46</v>
      </c>
      <c r="H319" s="18">
        <v>33560.57</v>
      </c>
      <c r="I319" s="18">
        <v>8842.6</v>
      </c>
      <c r="J319" s="18">
        <v>558.33000000000004</v>
      </c>
      <c r="K319" s="18">
        <v>7465</v>
      </c>
      <c r="L319" s="19">
        <f t="shared" si="16"/>
        <v>107916.83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 t="s">
        <v>287</v>
      </c>
      <c r="G321" s="18" t="s">
        <v>287</v>
      </c>
      <c r="H321" s="18" t="s">
        <v>287</v>
      </c>
      <c r="I321" s="18" t="s">
        <v>287</v>
      </c>
      <c r="J321" s="18" t="s">
        <v>287</v>
      </c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543284.88</v>
      </c>
      <c r="G327" s="42">
        <f t="shared" si="17"/>
        <v>140055.73000000001</v>
      </c>
      <c r="H327" s="42">
        <f t="shared" si="17"/>
        <v>114937.41</v>
      </c>
      <c r="I327" s="42">
        <f t="shared" si="17"/>
        <v>25789.940000000002</v>
      </c>
      <c r="J327" s="42">
        <f t="shared" si="17"/>
        <v>129113.74</v>
      </c>
      <c r="K327" s="42">
        <f t="shared" si="17"/>
        <v>7465</v>
      </c>
      <c r="L327" s="41">
        <f t="shared" si="17"/>
        <v>960646.7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128306.02</v>
      </c>
      <c r="G332" s="18">
        <v>15738.22</v>
      </c>
      <c r="H332" s="18">
        <v>11263.23</v>
      </c>
      <c r="I332" s="18">
        <v>10377.57</v>
      </c>
      <c r="J332" s="18">
        <v>846</v>
      </c>
      <c r="K332" s="18">
        <v>3585.18</v>
      </c>
      <c r="L332" s="19">
        <f t="shared" si="18"/>
        <v>170116.22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128306.02</v>
      </c>
      <c r="G336" s="41">
        <f t="shared" si="19"/>
        <v>15738.22</v>
      </c>
      <c r="H336" s="41">
        <f t="shared" si="19"/>
        <v>11263.23</v>
      </c>
      <c r="I336" s="41">
        <f t="shared" si="19"/>
        <v>10377.57</v>
      </c>
      <c r="J336" s="41">
        <f t="shared" si="19"/>
        <v>846</v>
      </c>
      <c r="K336" s="41">
        <f t="shared" si="19"/>
        <v>3585.18</v>
      </c>
      <c r="L336" s="41">
        <f t="shared" si="18"/>
        <v>170116.22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1427914.21</v>
      </c>
      <c r="G337" s="41">
        <f t="shared" si="20"/>
        <v>257424.88</v>
      </c>
      <c r="H337" s="41">
        <f t="shared" si="20"/>
        <v>278886.84999999998</v>
      </c>
      <c r="I337" s="41">
        <f t="shared" si="20"/>
        <v>77232.790000000008</v>
      </c>
      <c r="J337" s="41">
        <f t="shared" si="20"/>
        <v>212333.88</v>
      </c>
      <c r="K337" s="41">
        <f t="shared" si="20"/>
        <v>11250.18</v>
      </c>
      <c r="L337" s="41">
        <f t="shared" si="20"/>
        <v>2265042.79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8469.0400000000009</v>
      </c>
      <c r="L343" s="19">
        <f t="shared" ref="L343:L349" si="21">SUM(F343:K343)</f>
        <v>8469.0400000000009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8469.0400000000009</v>
      </c>
      <c r="L350" s="41">
        <f>SUM(L340:L349)</f>
        <v>8469.0400000000009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1427914.21</v>
      </c>
      <c r="G351" s="41">
        <f>G337</f>
        <v>257424.88</v>
      </c>
      <c r="H351" s="41">
        <f>H337</f>
        <v>278886.84999999998</v>
      </c>
      <c r="I351" s="41">
        <f>I337</f>
        <v>77232.790000000008</v>
      </c>
      <c r="J351" s="41">
        <f>J337</f>
        <v>212333.88</v>
      </c>
      <c r="K351" s="47">
        <f>K337+K350</f>
        <v>19719.22</v>
      </c>
      <c r="L351" s="41">
        <f>L337+L350</f>
        <v>2273511.83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253327.67</v>
      </c>
      <c r="G357" s="18">
        <v>84692.31</v>
      </c>
      <c r="H357" s="18">
        <v>17606.43</v>
      </c>
      <c r="I357" s="18">
        <v>171497.87</v>
      </c>
      <c r="J357" s="18">
        <v>6384.57</v>
      </c>
      <c r="K357" s="18"/>
      <c r="L357" s="13">
        <f>SUM(F357:K357)</f>
        <v>533508.85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139582.76999999999</v>
      </c>
      <c r="G358" s="18">
        <v>46665.2</v>
      </c>
      <c r="H358" s="18">
        <v>11032.47</v>
      </c>
      <c r="I358" s="18">
        <v>232086.26</v>
      </c>
      <c r="J358" s="18">
        <v>1023.3</v>
      </c>
      <c r="K358" s="18"/>
      <c r="L358" s="19">
        <f>SUM(F358:K358)</f>
        <v>430389.99999999994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254432.3</v>
      </c>
      <c r="G359" s="18">
        <v>85061.6</v>
      </c>
      <c r="H359" s="18">
        <v>18163.830000000002</v>
      </c>
      <c r="I359" s="18">
        <v>441327.45</v>
      </c>
      <c r="J359" s="18">
        <v>3354.35</v>
      </c>
      <c r="K359" s="18"/>
      <c r="L359" s="19">
        <f>SUM(F359:K359)</f>
        <v>802339.53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647342.74</v>
      </c>
      <c r="G361" s="47">
        <f t="shared" si="22"/>
        <v>216419.11000000002</v>
      </c>
      <c r="H361" s="47">
        <f t="shared" si="22"/>
        <v>46802.73</v>
      </c>
      <c r="I361" s="47">
        <f t="shared" si="22"/>
        <v>844911.58000000007</v>
      </c>
      <c r="J361" s="47">
        <f t="shared" si="22"/>
        <v>10762.22</v>
      </c>
      <c r="K361" s="47">
        <f t="shared" si="22"/>
        <v>0</v>
      </c>
      <c r="L361" s="47">
        <f t="shared" si="22"/>
        <v>1766238.38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318648.84999999998</v>
      </c>
      <c r="G366" s="18">
        <v>192953.46</v>
      </c>
      <c r="H366" s="18">
        <v>275280.26</v>
      </c>
      <c r="I366" s="56">
        <f>SUM(F366:H366)</f>
        <v>786882.57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23498.9</v>
      </c>
      <c r="G367" s="63">
        <v>14229.44</v>
      </c>
      <c r="H367" s="63">
        <v>20300.669999999998</v>
      </c>
      <c r="I367" s="56">
        <f>SUM(F367:H367)</f>
        <v>58029.01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342147.75</v>
      </c>
      <c r="G368" s="47">
        <f>SUM(G366:G367)</f>
        <v>207182.9</v>
      </c>
      <c r="H368" s="47">
        <f>SUM(H366:H367)</f>
        <v>295580.93</v>
      </c>
      <c r="I368" s="47">
        <f>SUM(I366:I367)</f>
        <v>844911.58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f>-11.42-19230+198444.36</f>
        <v>179202.94</v>
      </c>
      <c r="I375" s="18"/>
      <c r="J375" s="18"/>
      <c r="K375" s="18"/>
      <c r="L375" s="13">
        <f t="shared" si="23"/>
        <v>179202.94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2730.4+10380715.7-351-485-2403879.49</f>
        <v>7978730.6099999994</v>
      </c>
      <c r="I377" s="18">
        <v>638964</v>
      </c>
      <c r="J377" s="18"/>
      <c r="K377" s="18"/>
      <c r="L377" s="13">
        <f t="shared" si="23"/>
        <v>8617694.6099999994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8157933.5499999998</v>
      </c>
      <c r="I381" s="41">
        <f t="shared" si="24"/>
        <v>638964</v>
      </c>
      <c r="J381" s="47">
        <f t="shared" si="24"/>
        <v>0</v>
      </c>
      <c r="K381" s="47">
        <f t="shared" si="24"/>
        <v>0</v>
      </c>
      <c r="L381" s="47">
        <f t="shared" si="24"/>
        <v>8796897.5499999989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12.67</v>
      </c>
      <c r="I387" s="18"/>
      <c r="J387" s="24" t="s">
        <v>289</v>
      </c>
      <c r="K387" s="24" t="s">
        <v>289</v>
      </c>
      <c r="L387" s="56">
        <f t="shared" si="25"/>
        <v>12.67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>
        <v>15.9</v>
      </c>
      <c r="I390" s="18">
        <v>7115</v>
      </c>
      <c r="J390" s="24" t="s">
        <v>289</v>
      </c>
      <c r="K390" s="24" t="s">
        <v>289</v>
      </c>
      <c r="L390" s="56">
        <f t="shared" si="25"/>
        <v>7130.9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f>1.17+18.91+4.43</f>
        <v>24.509999999999998</v>
      </c>
      <c r="I391" s="18">
        <v>9600</v>
      </c>
      <c r="J391" s="24" t="s">
        <v>289</v>
      </c>
      <c r="K391" s="24" t="s">
        <v>289</v>
      </c>
      <c r="L391" s="56">
        <f t="shared" si="25"/>
        <v>9624.51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53.08</v>
      </c>
      <c r="I392" s="65">
        <f>SUM(I386:I391)</f>
        <v>16715</v>
      </c>
      <c r="J392" s="45" t="s">
        <v>289</v>
      </c>
      <c r="K392" s="45" t="s">
        <v>289</v>
      </c>
      <c r="L392" s="47">
        <f>SUM(L386:L391)</f>
        <v>16768.080000000002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53.08</v>
      </c>
      <c r="I407" s="47">
        <f>I392+I400+I406</f>
        <v>16715</v>
      </c>
      <c r="J407" s="24" t="s">
        <v>289</v>
      </c>
      <c r="K407" s="24" t="s">
        <v>289</v>
      </c>
      <c r="L407" s="47">
        <f>L392+L400+L406</f>
        <v>16768.080000000002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>
        <v>29504.46</v>
      </c>
      <c r="K417" s="18">
        <v>68.22</v>
      </c>
      <c r="L417" s="56">
        <f t="shared" si="27"/>
        <v>29572.68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29504.46</v>
      </c>
      <c r="K418" s="139">
        <f t="shared" si="28"/>
        <v>68.22</v>
      </c>
      <c r="L418" s="47">
        <f t="shared" si="28"/>
        <v>29572.68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29504.46</v>
      </c>
      <c r="K433" s="47">
        <f t="shared" si="32"/>
        <v>68.22</v>
      </c>
      <c r="L433" s="47">
        <f t="shared" si="32"/>
        <v>29572.68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29556.19</v>
      </c>
      <c r="G439" s="18">
        <f>123550.44-29556.19</f>
        <v>93994.25</v>
      </c>
      <c r="H439" s="18"/>
      <c r="I439" s="56">
        <f t="shared" si="33"/>
        <v>123550.44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29556.19</v>
      </c>
      <c r="G445" s="13">
        <f>SUM(G438:G444)</f>
        <v>93994.25</v>
      </c>
      <c r="H445" s="13">
        <f>SUM(H438:H444)</f>
        <v>0</v>
      </c>
      <c r="I445" s="13">
        <f>SUM(I438:I444)</f>
        <v>123550.44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29556.19</v>
      </c>
      <c r="G458" s="18">
        <v>93994.25</v>
      </c>
      <c r="H458" s="18"/>
      <c r="I458" s="56">
        <f t="shared" si="34"/>
        <v>123550.44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29556.19</v>
      </c>
      <c r="G459" s="83">
        <f>SUM(G453:G458)</f>
        <v>93994.25</v>
      </c>
      <c r="H459" s="83">
        <f>SUM(H453:H458)</f>
        <v>0</v>
      </c>
      <c r="I459" s="83">
        <f>SUM(I453:I458)</f>
        <v>123550.44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29556.19</v>
      </c>
      <c r="G460" s="42">
        <f>G451+G459</f>
        <v>93994.25</v>
      </c>
      <c r="H460" s="42">
        <f>H451+H459</f>
        <v>0</v>
      </c>
      <c r="I460" s="42">
        <f>I451+I459</f>
        <v>123550.44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1275216.3600000001</v>
      </c>
      <c r="G464" s="18">
        <v>399556.36</v>
      </c>
      <c r="H464" s="18">
        <v>179708.62</v>
      </c>
      <c r="I464" s="18">
        <v>8900452.3200000003</v>
      </c>
      <c r="J464" s="18">
        <v>136355.04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54495007.969999999</v>
      </c>
      <c r="G467" s="18">
        <f>21501.67+1772695.18</f>
        <v>1794196.8499999999</v>
      </c>
      <c r="H467" s="18">
        <v>2243395.4500000002</v>
      </c>
      <c r="I467" s="18">
        <v>8862.11</v>
      </c>
      <c r="J467" s="18">
        <f>53.08+16715</f>
        <v>16768.080000000002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54495007.969999999</v>
      </c>
      <c r="G469" s="53">
        <f>SUM(G467:G468)</f>
        <v>1794196.8499999999</v>
      </c>
      <c r="H469" s="53">
        <f>SUM(H467:H468)</f>
        <v>2243395.4500000002</v>
      </c>
      <c r="I469" s="53">
        <f>SUM(I467:I468)</f>
        <v>8862.11</v>
      </c>
      <c r="J469" s="53">
        <f>SUM(J467:J468)</f>
        <v>16768.080000000002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54453821.9+179413.47</f>
        <v>54633235.369999997</v>
      </c>
      <c r="G471" s="18">
        <v>1766238.38</v>
      </c>
      <c r="H471" s="18">
        <v>2273511.83</v>
      </c>
      <c r="I471" s="18">
        <v>8796897.5500000007</v>
      </c>
      <c r="J471" s="18">
        <v>29572.68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54633235.369999997</v>
      </c>
      <c r="G473" s="53">
        <f>SUM(G471:G472)</f>
        <v>1766238.38</v>
      </c>
      <c r="H473" s="53">
        <f>SUM(H471:H472)</f>
        <v>2273511.83</v>
      </c>
      <c r="I473" s="53">
        <f>SUM(I471:I472)</f>
        <v>8796897.5500000007</v>
      </c>
      <c r="J473" s="53">
        <f>SUM(J471:J472)</f>
        <v>29572.68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1136988.9600000009</v>
      </c>
      <c r="G475" s="53">
        <f>(G464+G469)- G473</f>
        <v>427514.83000000007</v>
      </c>
      <c r="H475" s="53">
        <f>(H464+H469)- H473</f>
        <v>149592.24000000022</v>
      </c>
      <c r="I475" s="53">
        <f>(I464+I469)- I473</f>
        <v>112416.87999999896</v>
      </c>
      <c r="J475" s="53">
        <f>(J464+J469)- J473</f>
        <v>123550.44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16</v>
      </c>
      <c r="H489" s="154">
        <v>16</v>
      </c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 t="s">
        <v>914</v>
      </c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 t="s">
        <v>915</v>
      </c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2565000</v>
      </c>
      <c r="G492" s="18">
        <v>14506160</v>
      </c>
      <c r="H492" s="18">
        <v>7493840</v>
      </c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5.25</v>
      </c>
      <c r="G493" s="18" t="s">
        <v>913</v>
      </c>
      <c r="H493" s="18">
        <v>3.51</v>
      </c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1425000</v>
      </c>
      <c r="G494" s="18">
        <v>14605160</v>
      </c>
      <c r="H494" s="18">
        <v>7493840</v>
      </c>
      <c r="I494" s="18"/>
      <c r="J494" s="18"/>
      <c r="K494" s="53">
        <f>SUM(F494:J494)</f>
        <v>23524000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285000</v>
      </c>
      <c r="G496" s="18">
        <v>911160</v>
      </c>
      <c r="H496" s="18">
        <v>436000</v>
      </c>
      <c r="I496" s="18"/>
      <c r="J496" s="18"/>
      <c r="K496" s="53">
        <f t="shared" si="35"/>
        <v>1632160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1140000</v>
      </c>
      <c r="G497" s="205">
        <v>13595000</v>
      </c>
      <c r="H497" s="205">
        <v>6550000</v>
      </c>
      <c r="I497" s="205"/>
      <c r="J497" s="205"/>
      <c r="K497" s="206">
        <f t="shared" si="35"/>
        <v>21285000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31706.25+23868.75+23868.75+16031.25+16031.25+8015.63+8015.63</f>
        <v>127537.51000000001</v>
      </c>
      <c r="G498" s="18">
        <f>6803181-556004.99-390941.01-366385.25</f>
        <v>5489849.75</v>
      </c>
      <c r="H498" s="18">
        <f>2732172.52-166658.77-147776.25-139056.25</f>
        <v>2278681.25</v>
      </c>
      <c r="I498" s="18"/>
      <c r="J498" s="18"/>
      <c r="K498" s="53">
        <f t="shared" si="35"/>
        <v>7896068.5099999998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1267537.51</v>
      </c>
      <c r="G499" s="42">
        <f>SUM(G497:G498)</f>
        <v>19084849.75</v>
      </c>
      <c r="H499" s="42">
        <f>SUM(H497:H498)</f>
        <v>8828681.25</v>
      </c>
      <c r="I499" s="42">
        <f>SUM(I497:I498)</f>
        <v>0</v>
      </c>
      <c r="J499" s="42">
        <f>SUM(J497:J498)</f>
        <v>0</v>
      </c>
      <c r="K499" s="42">
        <f t="shared" si="35"/>
        <v>29181068.510000002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285000</v>
      </c>
      <c r="G500" s="205">
        <v>910000</v>
      </c>
      <c r="H500" s="205">
        <v>440000</v>
      </c>
      <c r="I500" s="205"/>
      <c r="J500" s="205"/>
      <c r="K500" s="206">
        <f t="shared" si="35"/>
        <v>1635000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31706.25+23868.75</f>
        <v>55575</v>
      </c>
      <c r="G501" s="18">
        <f>366385.25+341860.75</f>
        <v>708246</v>
      </c>
      <c r="H501" s="18">
        <f>139056.25+132456.25</f>
        <v>271512.5</v>
      </c>
      <c r="I501" s="18"/>
      <c r="J501" s="18"/>
      <c r="K501" s="53">
        <f t="shared" si="35"/>
        <v>1035333.5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340575</v>
      </c>
      <c r="G502" s="42">
        <f>SUM(G500:G501)</f>
        <v>1618246</v>
      </c>
      <c r="H502" s="42">
        <f>SUM(H500:H501)</f>
        <v>711512.5</v>
      </c>
      <c r="I502" s="42">
        <f>SUM(I500:I501)</f>
        <v>0</v>
      </c>
      <c r="J502" s="42">
        <f>SUM(J500:J501)</f>
        <v>0</v>
      </c>
      <c r="K502" s="42">
        <f t="shared" si="35"/>
        <v>2670333.5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F197+F276-F530</f>
        <v>2749333.08</v>
      </c>
      <c r="G520" s="18">
        <f>G197+G276-G530</f>
        <v>599838.84</v>
      </c>
      <c r="H520" s="18">
        <f t="shared" ref="H520:K520" si="36">H197+H276</f>
        <v>1162057.99</v>
      </c>
      <c r="I520" s="18">
        <f t="shared" si="36"/>
        <v>24449.739999999998</v>
      </c>
      <c r="J520" s="18">
        <f t="shared" si="36"/>
        <v>35670.639999999999</v>
      </c>
      <c r="K520" s="18">
        <f t="shared" si="36"/>
        <v>617.15</v>
      </c>
      <c r="L520" s="88">
        <f>SUM(F520:K520)</f>
        <v>4571967.4400000004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F215+F295-F531</f>
        <v>1236924.26</v>
      </c>
      <c r="G521" s="18">
        <f>G215+G295-G531</f>
        <v>344856.56</v>
      </c>
      <c r="H521" s="18">
        <f t="shared" ref="H521:K521" si="37">H215+H295</f>
        <v>110893.5</v>
      </c>
      <c r="I521" s="18">
        <f t="shared" si="37"/>
        <v>9635.5</v>
      </c>
      <c r="J521" s="18">
        <f t="shared" si="37"/>
        <v>21599.87</v>
      </c>
      <c r="K521" s="18">
        <f t="shared" si="37"/>
        <v>373.7</v>
      </c>
      <c r="L521" s="88">
        <f>SUM(F521:K521)</f>
        <v>1724283.3900000001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F233+F314-F532</f>
        <v>1500729.45</v>
      </c>
      <c r="G522" s="18">
        <f>G233+G314-G532</f>
        <v>438772.59</v>
      </c>
      <c r="H522" s="18">
        <f t="shared" ref="H522:K522" si="38">H233+H314</f>
        <v>1911407.6</v>
      </c>
      <c r="I522" s="18">
        <f t="shared" si="38"/>
        <v>10607.91</v>
      </c>
      <c r="J522" s="18">
        <f t="shared" si="38"/>
        <v>30815.81</v>
      </c>
      <c r="K522" s="18">
        <f t="shared" si="38"/>
        <v>533.15</v>
      </c>
      <c r="L522" s="88">
        <f>SUM(F522:K522)</f>
        <v>3892866.5100000002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5486986.79</v>
      </c>
      <c r="G523" s="108">
        <f t="shared" ref="G523:L523" si="39">SUM(G520:G522)</f>
        <v>1383467.99</v>
      </c>
      <c r="H523" s="108">
        <f t="shared" si="39"/>
        <v>3184359.09</v>
      </c>
      <c r="I523" s="108">
        <f t="shared" si="39"/>
        <v>44693.149999999994</v>
      </c>
      <c r="J523" s="108">
        <f t="shared" si="39"/>
        <v>88086.319999999992</v>
      </c>
      <c r="K523" s="108">
        <f t="shared" si="39"/>
        <v>1524</v>
      </c>
      <c r="L523" s="89">
        <f t="shared" si="39"/>
        <v>10189117.34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397957.38</v>
      </c>
      <c r="G525" s="18">
        <v>9474.0720000000001</v>
      </c>
      <c r="H525" s="18">
        <v>63674.024000000005</v>
      </c>
      <c r="I525" s="18">
        <v>4751.6120000000001</v>
      </c>
      <c r="J525" s="18"/>
      <c r="K525" s="18"/>
      <c r="L525" s="88">
        <f>SUM(F525:K525)</f>
        <v>475857.08800000005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248723.36249999999</v>
      </c>
      <c r="G526" s="18">
        <v>5921.2950000000001</v>
      </c>
      <c r="H526" s="18">
        <v>39796.264999999999</v>
      </c>
      <c r="I526" s="18">
        <v>2969.7575000000002</v>
      </c>
      <c r="J526" s="18"/>
      <c r="K526" s="18"/>
      <c r="L526" s="88">
        <f>SUM(F526:K526)</f>
        <v>297410.68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348212.70749999996</v>
      </c>
      <c r="G527" s="18">
        <v>8289.8130000000001</v>
      </c>
      <c r="H527" s="18">
        <v>55714.770999999993</v>
      </c>
      <c r="I527" s="18">
        <v>4157.6605</v>
      </c>
      <c r="J527" s="18"/>
      <c r="K527" s="18"/>
      <c r="L527" s="88">
        <f>SUM(F527:K527)</f>
        <v>416374.95199999999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994893.45</v>
      </c>
      <c r="G528" s="89">
        <f t="shared" ref="G528:L528" si="40">SUM(G525:G527)</f>
        <v>23685.18</v>
      </c>
      <c r="H528" s="89">
        <f t="shared" si="40"/>
        <v>159185.06</v>
      </c>
      <c r="I528" s="89">
        <f t="shared" si="40"/>
        <v>11879.03</v>
      </c>
      <c r="J528" s="89">
        <f t="shared" si="40"/>
        <v>0</v>
      </c>
      <c r="K528" s="89">
        <f t="shared" si="40"/>
        <v>0</v>
      </c>
      <c r="L528" s="89">
        <f t="shared" si="40"/>
        <v>1189642.72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(87300+77350)*0.4</f>
        <v>65860</v>
      </c>
      <c r="G530" s="18">
        <f>F530*0.4</f>
        <v>26344</v>
      </c>
      <c r="H530" s="18"/>
      <c r="I530" s="18"/>
      <c r="J530" s="18"/>
      <c r="K530" s="18"/>
      <c r="L530" s="88">
        <f>SUM(F530:K530)</f>
        <v>92204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(87300+77350)*0.25</f>
        <v>41162.5</v>
      </c>
      <c r="G531" s="18">
        <f>F531*0.4</f>
        <v>16465</v>
      </c>
      <c r="H531" s="18"/>
      <c r="I531" s="18"/>
      <c r="J531" s="18"/>
      <c r="K531" s="18"/>
      <c r="L531" s="88">
        <f>SUM(F531:K531)</f>
        <v>57627.5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(87300+77350)*0.35</f>
        <v>57627.499999999993</v>
      </c>
      <c r="G532" s="18">
        <f>F532*0.4</f>
        <v>23051</v>
      </c>
      <c r="H532" s="18"/>
      <c r="I532" s="18"/>
      <c r="J532" s="18"/>
      <c r="K532" s="18"/>
      <c r="L532" s="88">
        <f>SUM(F532:K532)</f>
        <v>80678.5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164650</v>
      </c>
      <c r="G533" s="89">
        <f t="shared" ref="G533:L533" si="41">SUM(G530:G532)</f>
        <v>65860</v>
      </c>
      <c r="H533" s="89">
        <f t="shared" si="41"/>
        <v>0</v>
      </c>
      <c r="I533" s="89">
        <f t="shared" si="41"/>
        <v>0</v>
      </c>
      <c r="J533" s="89">
        <f t="shared" si="41"/>
        <v>0</v>
      </c>
      <c r="K533" s="89">
        <f t="shared" si="41"/>
        <v>0</v>
      </c>
      <c r="L533" s="89">
        <f t="shared" si="41"/>
        <v>230510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12276.97</v>
      </c>
      <c r="I537" s="18"/>
      <c r="J537" s="18"/>
      <c r="K537" s="18"/>
      <c r="L537" s="88">
        <f>SUM(F537:K537)</f>
        <v>12276.97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12276.97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12276.97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 t="s">
        <v>287</v>
      </c>
      <c r="G540" s="18"/>
      <c r="H540" s="18">
        <v>294447.94</v>
      </c>
      <c r="I540" s="18"/>
      <c r="J540" s="18"/>
      <c r="K540" s="18"/>
      <c r="L540" s="88">
        <f>SUM(F540:K540)</f>
        <v>294447.94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178298.93</v>
      </c>
      <c r="I541" s="18"/>
      <c r="J541" s="18"/>
      <c r="K541" s="18"/>
      <c r="L541" s="88">
        <f>SUM(F541:K541)</f>
        <v>178298.93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254373.14</v>
      </c>
      <c r="I542" s="18"/>
      <c r="J542" s="18"/>
      <c r="K542" s="18"/>
      <c r="L542" s="88">
        <f>SUM(F542:K542)</f>
        <v>254373.14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3">SUM(G540:G542)</f>
        <v>0</v>
      </c>
      <c r="H543" s="194">
        <f t="shared" si="43"/>
        <v>727120.01</v>
      </c>
      <c r="I543" s="194">
        <f t="shared" si="43"/>
        <v>0</v>
      </c>
      <c r="J543" s="194">
        <f t="shared" si="43"/>
        <v>0</v>
      </c>
      <c r="K543" s="194">
        <f t="shared" si="43"/>
        <v>0</v>
      </c>
      <c r="L543" s="194">
        <f t="shared" si="43"/>
        <v>727120.01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6646530.2400000002</v>
      </c>
      <c r="G544" s="89">
        <f t="shared" ref="G544:L544" si="44">G523+G528+G533+G538+G543</f>
        <v>1473013.17</v>
      </c>
      <c r="H544" s="89">
        <f t="shared" si="44"/>
        <v>4082941.13</v>
      </c>
      <c r="I544" s="89">
        <f t="shared" si="44"/>
        <v>56572.179999999993</v>
      </c>
      <c r="J544" s="89">
        <f t="shared" si="44"/>
        <v>88086.319999999992</v>
      </c>
      <c r="K544" s="89">
        <f t="shared" si="44"/>
        <v>1524</v>
      </c>
      <c r="L544" s="89">
        <f t="shared" si="44"/>
        <v>12348667.040000001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4571967.4400000004</v>
      </c>
      <c r="G548" s="87">
        <f>L525</f>
        <v>475857.08800000005</v>
      </c>
      <c r="H548" s="87">
        <f>L530</f>
        <v>92204</v>
      </c>
      <c r="I548" s="87">
        <f>L535</f>
        <v>0</v>
      </c>
      <c r="J548" s="87">
        <f>L540</f>
        <v>294447.94</v>
      </c>
      <c r="K548" s="87">
        <f>SUM(F548:J548)</f>
        <v>5434476.4680000013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1724283.3900000001</v>
      </c>
      <c r="G549" s="87">
        <f>L526</f>
        <v>297410.68</v>
      </c>
      <c r="H549" s="87">
        <f>L531</f>
        <v>57627.5</v>
      </c>
      <c r="I549" s="87">
        <f>L536</f>
        <v>0</v>
      </c>
      <c r="J549" s="87">
        <f>L541</f>
        <v>178298.93</v>
      </c>
      <c r="K549" s="87">
        <f>SUM(F549:J549)</f>
        <v>2257620.5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3892866.5100000002</v>
      </c>
      <c r="G550" s="87">
        <f>L527</f>
        <v>416374.95199999999</v>
      </c>
      <c r="H550" s="87">
        <f>L532</f>
        <v>80678.5</v>
      </c>
      <c r="I550" s="87">
        <f>L537</f>
        <v>12276.97</v>
      </c>
      <c r="J550" s="87">
        <f>L542</f>
        <v>254373.14</v>
      </c>
      <c r="K550" s="87">
        <f>SUM(F550:J550)</f>
        <v>4656570.0719999997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10189117.34</v>
      </c>
      <c r="G551" s="89">
        <f t="shared" si="45"/>
        <v>1189642.72</v>
      </c>
      <c r="H551" s="89">
        <f t="shared" si="45"/>
        <v>230510</v>
      </c>
      <c r="I551" s="89">
        <f t="shared" si="45"/>
        <v>12276.97</v>
      </c>
      <c r="J551" s="89">
        <f t="shared" si="45"/>
        <v>727120.01</v>
      </c>
      <c r="K551" s="89">
        <f t="shared" si="45"/>
        <v>12348667.040000001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67501.788</v>
      </c>
      <c r="G561" s="18">
        <v>911.42399999999998</v>
      </c>
      <c r="H561" s="18">
        <v>231.62</v>
      </c>
      <c r="I561" s="18">
        <v>4138.6160000000009</v>
      </c>
      <c r="J561" s="18">
        <v>3538.8</v>
      </c>
      <c r="K561" s="18"/>
      <c r="L561" s="88">
        <f>SUM(F561:K561)</f>
        <v>76322.247999999992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42188.6175</v>
      </c>
      <c r="G562" s="18">
        <v>569.64</v>
      </c>
      <c r="H562" s="18">
        <v>144.76249999999999</v>
      </c>
      <c r="I562" s="18">
        <v>2586.6350000000002</v>
      </c>
      <c r="J562" s="18">
        <v>2211.75</v>
      </c>
      <c r="K562" s="18"/>
      <c r="L562" s="88">
        <f>SUM(F562:K562)</f>
        <v>47701.404999999999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59064.064499999993</v>
      </c>
      <c r="G563" s="18">
        <v>797.49599999999998</v>
      </c>
      <c r="H563" s="18">
        <v>202.66749999999996</v>
      </c>
      <c r="I563" s="18">
        <v>3621.2890000000002</v>
      </c>
      <c r="J563" s="18">
        <v>3096.45</v>
      </c>
      <c r="K563" s="18"/>
      <c r="L563" s="88">
        <f>SUM(F563:K563)</f>
        <v>66781.96699999999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7">SUM(F561:F563)</f>
        <v>168754.46999999997</v>
      </c>
      <c r="G564" s="89">
        <f t="shared" si="47"/>
        <v>2278.56</v>
      </c>
      <c r="H564" s="89">
        <f t="shared" si="47"/>
        <v>579.04999999999995</v>
      </c>
      <c r="I564" s="89">
        <f t="shared" si="47"/>
        <v>10346.540000000001</v>
      </c>
      <c r="J564" s="89">
        <f t="shared" si="47"/>
        <v>8847</v>
      </c>
      <c r="K564" s="89">
        <f t="shared" si="47"/>
        <v>0</v>
      </c>
      <c r="L564" s="89">
        <f t="shared" si="47"/>
        <v>190805.62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8">SUM(G566:G568)</f>
        <v>0</v>
      </c>
      <c r="H569" s="194">
        <f t="shared" si="48"/>
        <v>0</v>
      </c>
      <c r="I569" s="194">
        <f t="shared" si="48"/>
        <v>0</v>
      </c>
      <c r="J569" s="194">
        <f t="shared" si="48"/>
        <v>0</v>
      </c>
      <c r="K569" s="194">
        <f t="shared" si="48"/>
        <v>0</v>
      </c>
      <c r="L569" s="194">
        <f t="shared" si="48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168754.46999999997</v>
      </c>
      <c r="G570" s="89">
        <f t="shared" ref="G570:L570" si="49">G559+G564+G569</f>
        <v>2278.56</v>
      </c>
      <c r="H570" s="89">
        <f t="shared" si="49"/>
        <v>579.04999999999995</v>
      </c>
      <c r="I570" s="89">
        <f t="shared" si="49"/>
        <v>10346.540000000001</v>
      </c>
      <c r="J570" s="89">
        <f t="shared" si="49"/>
        <v>8847</v>
      </c>
      <c r="K570" s="89">
        <f t="shared" si="49"/>
        <v>0</v>
      </c>
      <c r="L570" s="89">
        <f t="shared" si="49"/>
        <v>190805.62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26423.44+9029.38</f>
        <v>35452.82</v>
      </c>
      <c r="G578" s="18">
        <v>5643.36</v>
      </c>
      <c r="H578" s="18">
        <f>12901.43+9602.76+7900.71</f>
        <v>30404.9</v>
      </c>
      <c r="I578" s="87">
        <f t="shared" si="50"/>
        <v>71501.08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>
        <v>44069</v>
      </c>
      <c r="H579" s="18"/>
      <c r="I579" s="87">
        <f t="shared" si="50"/>
        <v>44069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150</v>
      </c>
      <c r="I580" s="87">
        <f t="shared" si="50"/>
        <v>150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554518.73</v>
      </c>
      <c r="G581" s="18">
        <v>468313.39</v>
      </c>
      <c r="H581" s="18">
        <v>874717.18</v>
      </c>
      <c r="I581" s="87">
        <f t="shared" si="50"/>
        <v>1897549.3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>
        <v>188190.44</v>
      </c>
      <c r="H582" s="18">
        <v>695630.21</v>
      </c>
      <c r="I582" s="87">
        <f t="shared" si="50"/>
        <v>883820.64999999991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5608.96</v>
      </c>
      <c r="I583" s="87">
        <f t="shared" si="50"/>
        <v>5608.96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1251.3</v>
      </c>
      <c r="I585" s="87">
        <f t="shared" si="50"/>
        <v>1251.3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644553.68000000005</v>
      </c>
      <c r="I590" s="18">
        <v>390300.67</v>
      </c>
      <c r="J590" s="18">
        <v>556828.94999999995</v>
      </c>
      <c r="K590" s="104">
        <f t="shared" ref="K590:K596" si="51">SUM(H590:J590)</f>
        <v>1591683.3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294447.94</v>
      </c>
      <c r="I591" s="18">
        <v>178298.93</v>
      </c>
      <c r="J591" s="18">
        <v>254373.14</v>
      </c>
      <c r="K591" s="104">
        <f t="shared" si="51"/>
        <v>727120.01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8309.15</v>
      </c>
      <c r="K592" s="104">
        <f t="shared" si="51"/>
        <v>8309.15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7242.5</v>
      </c>
      <c r="J593" s="18">
        <v>53752.66</v>
      </c>
      <c r="K593" s="104">
        <f t="shared" si="51"/>
        <v>60995.16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500</v>
      </c>
      <c r="J594" s="18">
        <v>27518.83</v>
      </c>
      <c r="K594" s="104">
        <f t="shared" si="51"/>
        <v>28018.83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1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939001.62000000011</v>
      </c>
      <c r="I597" s="108">
        <f>SUM(I590:I596)</f>
        <v>576342.1</v>
      </c>
      <c r="J597" s="108">
        <f>SUM(J590:J596)</f>
        <v>900782.73</v>
      </c>
      <c r="K597" s="108">
        <f>SUM(K590:K596)</f>
        <v>2416126.4500000002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193780.49</v>
      </c>
      <c r="I603" s="18">
        <v>134084.6</v>
      </c>
      <c r="J603" s="18">
        <v>273867.05</v>
      </c>
      <c r="K603" s="104">
        <f>SUM(H603:J603)</f>
        <v>601732.1399999999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193780.49</v>
      </c>
      <c r="I604" s="108">
        <f>SUM(I601:I603)</f>
        <v>134084.6</v>
      </c>
      <c r="J604" s="108">
        <f>SUM(J601:J603)</f>
        <v>273867.05</v>
      </c>
      <c r="K604" s="108">
        <f>SUM(K601:K603)</f>
        <v>601732.1399999999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18317</v>
      </c>
      <c r="G610" s="18">
        <v>3297.06</v>
      </c>
      <c r="H610" s="18"/>
      <c r="I610" s="18"/>
      <c r="J610" s="18"/>
      <c r="K610" s="18"/>
      <c r="L610" s="88">
        <f>SUM(F610:K610)</f>
        <v>21614.06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4227</v>
      </c>
      <c r="G611" s="18">
        <v>760.86</v>
      </c>
      <c r="H611" s="18"/>
      <c r="I611" s="18"/>
      <c r="J611" s="18"/>
      <c r="K611" s="18"/>
      <c r="L611" s="88">
        <f>SUM(F611:K611)</f>
        <v>4987.8599999999997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12681</v>
      </c>
      <c r="G612" s="18">
        <v>2282.58</v>
      </c>
      <c r="H612" s="18"/>
      <c r="I612" s="18"/>
      <c r="J612" s="18"/>
      <c r="K612" s="18"/>
      <c r="L612" s="88">
        <f>SUM(F612:K612)</f>
        <v>14963.58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35225</v>
      </c>
      <c r="G613" s="108">
        <f t="shared" si="52"/>
        <v>6340.5</v>
      </c>
      <c r="H613" s="108">
        <f t="shared" si="52"/>
        <v>0</v>
      </c>
      <c r="I613" s="108">
        <f t="shared" si="52"/>
        <v>0</v>
      </c>
      <c r="J613" s="108">
        <f t="shared" si="52"/>
        <v>0</v>
      </c>
      <c r="K613" s="108">
        <f t="shared" si="52"/>
        <v>0</v>
      </c>
      <c r="L613" s="89">
        <f t="shared" si="52"/>
        <v>41565.5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1979806.52</v>
      </c>
      <c r="H616" s="109">
        <f>SUM(F51)</f>
        <v>1979806.52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430796.82</v>
      </c>
      <c r="H617" s="109">
        <f>SUM(G51)</f>
        <v>430796.82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531829.68999999994</v>
      </c>
      <c r="H618" s="109">
        <f>SUM(H51)</f>
        <v>531829.68999999994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289416.88</v>
      </c>
      <c r="H619" s="109">
        <f>SUM(I51)</f>
        <v>289416.88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123550.44</v>
      </c>
      <c r="H620" s="109">
        <f>SUM(J51)</f>
        <v>123550.44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1136988.96</v>
      </c>
      <c r="H621" s="109">
        <f>F475</f>
        <v>1136988.9600000009</v>
      </c>
      <c r="I621" s="121" t="s">
        <v>101</v>
      </c>
      <c r="J621" s="109">
        <f t="shared" ref="J621:J654" si="53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427514.83</v>
      </c>
      <c r="H622" s="109">
        <f>G475</f>
        <v>427514.83000000007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149592.24</v>
      </c>
      <c r="H623" s="109">
        <f>H475</f>
        <v>149592.24000000022</v>
      </c>
      <c r="I623" s="121" t="s">
        <v>103</v>
      </c>
      <c r="J623" s="109">
        <f t="shared" si="53"/>
        <v>-2.3283064365386963E-10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112416.88</v>
      </c>
      <c r="H624" s="109">
        <f>I475</f>
        <v>112416.87999999896</v>
      </c>
      <c r="I624" s="121" t="s">
        <v>104</v>
      </c>
      <c r="J624" s="109">
        <f t="shared" si="53"/>
        <v>1.0477378964424133E-9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123550.44</v>
      </c>
      <c r="H625" s="109">
        <f>J475</f>
        <v>123550.44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54495007.969999999</v>
      </c>
      <c r="H626" s="104">
        <f>SUM(F467)</f>
        <v>54495007.969999999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1794196.8499999996</v>
      </c>
      <c r="H627" s="104">
        <f>SUM(G467)</f>
        <v>1794196.8499999999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2243395.4500000002</v>
      </c>
      <c r="H628" s="104">
        <f>SUM(H467)</f>
        <v>2243395.4500000002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8862.11</v>
      </c>
      <c r="H629" s="104">
        <f>SUM(I467)</f>
        <v>8862.11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16768.080000000002</v>
      </c>
      <c r="H630" s="104">
        <f>SUM(J467)</f>
        <v>16768.080000000002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54633235.36999999</v>
      </c>
      <c r="H631" s="104">
        <f>SUM(F471)</f>
        <v>54633235.369999997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2273511.83</v>
      </c>
      <c r="H632" s="104">
        <f>SUM(H471)</f>
        <v>2273511.83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844911.58000000007</v>
      </c>
      <c r="H633" s="104">
        <f>I368</f>
        <v>844911.58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1766238.38</v>
      </c>
      <c r="H634" s="104">
        <f>SUM(G471)</f>
        <v>1766238.38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8796897.5499999989</v>
      </c>
      <c r="H635" s="104">
        <f>SUM(I471)</f>
        <v>8796897.5500000007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16768.080000000002</v>
      </c>
      <c r="H636" s="164">
        <f>SUM(J467)</f>
        <v>16768.080000000002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29572.68</v>
      </c>
      <c r="H637" s="164">
        <f>SUM(J471)</f>
        <v>29572.68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29556.19</v>
      </c>
      <c r="H638" s="104">
        <f>SUM(F460)</f>
        <v>29556.19</v>
      </c>
      <c r="I638" s="140" t="s">
        <v>868</v>
      </c>
      <c r="J638" s="109">
        <f t="shared" si="53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93994.25</v>
      </c>
      <c r="H639" s="104">
        <f>SUM(G460)</f>
        <v>93994.25</v>
      </c>
      <c r="I639" s="140" t="s">
        <v>869</v>
      </c>
      <c r="J639" s="109">
        <f t="shared" si="53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3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123550.44</v>
      </c>
      <c r="H641" s="104">
        <f>SUM(I460)</f>
        <v>123550.44</v>
      </c>
      <c r="I641" s="140" t="s">
        <v>871</v>
      </c>
      <c r="J641" s="109">
        <f t="shared" si="53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53.08</v>
      </c>
      <c r="H643" s="104">
        <f>H407</f>
        <v>53.08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16768.080000000002</v>
      </c>
      <c r="H645" s="104">
        <f>L407</f>
        <v>16768.080000000002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2416126.4500000002</v>
      </c>
      <c r="H646" s="104">
        <f>L207+L225+L243</f>
        <v>2416126.4500000002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601732.1399999999</v>
      </c>
      <c r="H647" s="104">
        <f>(J256+J337)-(J254+J335)</f>
        <v>601732.1399999999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939001.62</v>
      </c>
      <c r="H648" s="104">
        <f>H597</f>
        <v>939001.62000000011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576342.1</v>
      </c>
      <c r="H649" s="104">
        <f>I597</f>
        <v>576342.1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900782.73</v>
      </c>
      <c r="H650" s="104">
        <f>J597</f>
        <v>900782.73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22104740.750000004</v>
      </c>
      <c r="G659" s="19">
        <f>(L228+L308+L358)</f>
        <v>11255131.119999999</v>
      </c>
      <c r="H659" s="19">
        <f>(L246+L327+L359)</f>
        <v>22099423.789999999</v>
      </c>
      <c r="I659" s="19">
        <f>SUM(F659:H659)</f>
        <v>55459295.660000004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395336.40424420085</v>
      </c>
      <c r="G660" s="19">
        <f>(L358/IF(SUM(L357:L359)=0,1,SUM(L357:L359))*(SUM(G96:G109)))</f>
        <v>318924.10973625199</v>
      </c>
      <c r="H660" s="19">
        <f>(L359/IF(SUM(L357:L359)=0,1,SUM(L357:L359))*(SUM(G96:G109)))</f>
        <v>594543.13601954712</v>
      </c>
      <c r="I660" s="19">
        <f>SUM(F660:H660)</f>
        <v>1308803.6499999999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939001.62</v>
      </c>
      <c r="G661" s="19">
        <f>(L225+L305)-(J225+J305)</f>
        <v>576342.1</v>
      </c>
      <c r="H661" s="19">
        <f>(L243+L324)-(J243+J324)</f>
        <v>900782.73</v>
      </c>
      <c r="I661" s="19">
        <f>SUM(F661:H661)</f>
        <v>2416126.4500000002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805366.1</v>
      </c>
      <c r="G662" s="200">
        <f>SUM(G574:G586)+SUM(I601:I603)+L611</f>
        <v>845288.64999999991</v>
      </c>
      <c r="H662" s="200">
        <f>SUM(H574:H586)+SUM(J601:J603)+L612</f>
        <v>1896593.1800000002</v>
      </c>
      <c r="I662" s="19">
        <f>SUM(F662:H662)</f>
        <v>3547247.93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19965036.625755802</v>
      </c>
      <c r="G663" s="19">
        <f>G659-SUM(G660:G662)</f>
        <v>9514576.2602637466</v>
      </c>
      <c r="H663" s="19">
        <f>H659-SUM(H660:H662)</f>
        <v>18707504.743980452</v>
      </c>
      <c r="I663" s="19">
        <f>I659-SUM(I660:I662)</f>
        <v>48187117.630000003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1660.58</v>
      </c>
      <c r="G664" s="249">
        <v>1044.93</v>
      </c>
      <c r="H664" s="249">
        <v>1484.81</v>
      </c>
      <c r="I664" s="19">
        <f>SUM(F664:H664)</f>
        <v>4190.32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12022.93</v>
      </c>
      <c r="G666" s="19">
        <f>ROUND(G663/G664,2)</f>
        <v>9105.4699999999993</v>
      </c>
      <c r="H666" s="19">
        <f>ROUND(H663/H664,2)</f>
        <v>12599.26</v>
      </c>
      <c r="I666" s="19">
        <f>ROUND(I663/I664,2)</f>
        <v>11499.63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24.09</v>
      </c>
      <c r="I669" s="19">
        <f>SUM(F669:H669)</f>
        <v>24.09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12022.93</v>
      </c>
      <c r="G671" s="19">
        <f>ROUND((G663+G668)/(G664+G669),2)</f>
        <v>9105.4699999999993</v>
      </c>
      <c r="H671" s="19">
        <f>ROUND((H663+H668)/(H664+H669),2)</f>
        <v>12398.11</v>
      </c>
      <c r="I671" s="19">
        <f>ROUND((I663+I668)/(I664+I669),2)</f>
        <v>11433.89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C30" sqref="C3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Salem School District  SAU 57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16161165.58</v>
      </c>
      <c r="C9" s="230">
        <f>'DOE25'!G196+'DOE25'!G214+'DOE25'!G232+'DOE25'!G275+'DOE25'!G294+'DOE25'!G313</f>
        <v>6839327.3999999994</v>
      </c>
    </row>
    <row r="10" spans="1:3">
      <c r="A10" t="s">
        <v>779</v>
      </c>
      <c r="B10" s="241">
        <v>15467514.15</v>
      </c>
      <c r="C10" s="241">
        <v>6545777.5800000001</v>
      </c>
    </row>
    <row r="11" spans="1:3">
      <c r="A11" t="s">
        <v>780</v>
      </c>
      <c r="B11" s="241">
        <v>364785.55</v>
      </c>
      <c r="C11" s="241">
        <v>154375.42000000001</v>
      </c>
    </row>
    <row r="12" spans="1:3">
      <c r="A12" t="s">
        <v>781</v>
      </c>
      <c r="B12" s="241">
        <v>328865.88</v>
      </c>
      <c r="C12" s="241">
        <v>139174.39999999999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16161165.580000002</v>
      </c>
      <c r="C13" s="232">
        <f>SUM(C10:C12)</f>
        <v>6839327.4000000004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5651636.79</v>
      </c>
      <c r="C18" s="230">
        <f>'DOE25'!G197+'DOE25'!G215+'DOE25'!G233+'DOE25'!G276+'DOE25'!G295+'DOE25'!G314</f>
        <v>1449327.99</v>
      </c>
    </row>
    <row r="19" spans="1:3">
      <c r="A19" t="s">
        <v>779</v>
      </c>
      <c r="B19" s="241">
        <f>7388.75+2045860.19+730+3230</f>
        <v>2057208.94</v>
      </c>
      <c r="C19" s="241">
        <v>527558.89</v>
      </c>
    </row>
    <row r="20" spans="1:3">
      <c r="A20" t="s">
        <v>780</v>
      </c>
      <c r="B20" s="241">
        <f>4881.96+2685981.32</f>
        <v>2690863.28</v>
      </c>
      <c r="C20" s="241">
        <v>690055.39</v>
      </c>
    </row>
    <row r="21" spans="1:3">
      <c r="A21" t="s">
        <v>781</v>
      </c>
      <c r="B21" s="241">
        <f>164650+677440.22+61474.35</f>
        <v>903564.57</v>
      </c>
      <c r="C21" s="241">
        <v>231713.71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5651636.79</v>
      </c>
      <c r="C22" s="232">
        <f>SUM(C19:C21)</f>
        <v>1449327.99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1030078.61</v>
      </c>
      <c r="C27" s="235">
        <f>'DOE25'!G198+'DOE25'!G216+'DOE25'!G234+'DOE25'!G277+'DOE25'!G296+'DOE25'!G315</f>
        <v>434228.75</v>
      </c>
    </row>
    <row r="28" spans="1:3">
      <c r="A28" t="s">
        <v>779</v>
      </c>
      <c r="B28" s="241">
        <f>765044+3900+5801.25</f>
        <v>774745.25</v>
      </c>
      <c r="C28" s="241">
        <v>326593.24</v>
      </c>
    </row>
    <row r="29" spans="1:3">
      <c r="A29" t="s">
        <v>780</v>
      </c>
      <c r="B29" s="241">
        <f>99420.8+41904</f>
        <v>141324.79999999999</v>
      </c>
      <c r="C29" s="241">
        <v>59575.33</v>
      </c>
    </row>
    <row r="30" spans="1:3">
      <c r="A30" t="s">
        <v>781</v>
      </c>
      <c r="B30" s="241">
        <f>33308.56+80700</f>
        <v>114008.56</v>
      </c>
      <c r="C30" s="241">
        <v>48060.18</v>
      </c>
    </row>
    <row r="31" spans="1:3">
      <c r="A31" t="str">
        <f>IF(B27=B31,IF(C27=C31,"Check Total OK","Check Total Error"),"Check Total Error")</f>
        <v>Check Total OK</v>
      </c>
      <c r="B31" s="232">
        <f>SUM(B28:B30)</f>
        <v>1030078.6100000001</v>
      </c>
      <c r="C31" s="232">
        <f>SUM(C28:C30)</f>
        <v>434228.75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515542.7</v>
      </c>
      <c r="C36" s="236">
        <f>'DOE25'!G199+'DOE25'!G217+'DOE25'!G235+'DOE25'!G278+'DOE25'!G297+'DOE25'!G316</f>
        <v>194076.11000000002</v>
      </c>
    </row>
    <row r="37" spans="1:3">
      <c r="A37" t="s">
        <v>779</v>
      </c>
      <c r="B37" s="241">
        <v>515542.7</v>
      </c>
      <c r="C37" s="241">
        <v>194076.11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515542.7</v>
      </c>
      <c r="C40" s="232">
        <f>SUM(C37:C39)</f>
        <v>194076.11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F7" sqref="F7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Salem School District  SAU 57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35404817.840000004</v>
      </c>
      <c r="D5" s="20">
        <f>SUM('DOE25'!L196:L199)+SUM('DOE25'!L214:L217)+SUM('DOE25'!L232:L235)-F5-G5</f>
        <v>35241456.130000003</v>
      </c>
      <c r="E5" s="244"/>
      <c r="F5" s="256">
        <f>SUM('DOE25'!J196:J199)+SUM('DOE25'!J214:J217)+SUM('DOE25'!J232:J235)</f>
        <v>148077.21</v>
      </c>
      <c r="G5" s="53">
        <f>SUM('DOE25'!K196:K199)+SUM('DOE25'!K214:K217)+SUM('DOE25'!K232:K235)</f>
        <v>15284.5</v>
      </c>
      <c r="H5" s="260"/>
    </row>
    <row r="6" spans="1:9">
      <c r="A6" s="32">
        <v>2100</v>
      </c>
      <c r="B6" t="s">
        <v>801</v>
      </c>
      <c r="C6" s="246">
        <f t="shared" si="0"/>
        <v>3699637.0599999996</v>
      </c>
      <c r="D6" s="20">
        <f>'DOE25'!L201+'DOE25'!L219+'DOE25'!L237-F6-G6</f>
        <v>3699162.0599999996</v>
      </c>
      <c r="E6" s="244"/>
      <c r="F6" s="256">
        <f>'DOE25'!J201+'DOE25'!J219+'DOE25'!J237</f>
        <v>0</v>
      </c>
      <c r="G6" s="53">
        <f>'DOE25'!K201+'DOE25'!K219+'DOE25'!K237</f>
        <v>475</v>
      </c>
      <c r="H6" s="260"/>
    </row>
    <row r="7" spans="1:9">
      <c r="A7" s="32">
        <v>2200</v>
      </c>
      <c r="B7" t="s">
        <v>834</v>
      </c>
      <c r="C7" s="246">
        <f t="shared" si="0"/>
        <v>1915992.21</v>
      </c>
      <c r="D7" s="20">
        <f>'DOE25'!L202+'DOE25'!L220+'DOE25'!L238-F7-G7</f>
        <v>1702995.69</v>
      </c>
      <c r="E7" s="244"/>
      <c r="F7" s="256">
        <f>'DOE25'!J202+'DOE25'!J220+'DOE25'!J238</f>
        <v>212747.52000000002</v>
      </c>
      <c r="G7" s="53">
        <f>'DOE25'!K202+'DOE25'!K220+'DOE25'!K238</f>
        <v>249</v>
      </c>
      <c r="H7" s="260"/>
    </row>
    <row r="8" spans="1:9">
      <c r="A8" s="32">
        <v>2300</v>
      </c>
      <c r="B8" t="s">
        <v>802</v>
      </c>
      <c r="C8" s="246">
        <f t="shared" si="0"/>
        <v>472922.53999999992</v>
      </c>
      <c r="D8" s="244"/>
      <c r="E8" s="20">
        <f>'DOE25'!L203+'DOE25'!L221+'DOE25'!L239-F8-G8-D9-D11</f>
        <v>461365.28999999992</v>
      </c>
      <c r="F8" s="256">
        <f>'DOE25'!J203+'DOE25'!J221+'DOE25'!J239</f>
        <v>0</v>
      </c>
      <c r="G8" s="53">
        <f>'DOE25'!K203+'DOE25'!K221+'DOE25'!K239</f>
        <v>11557.25</v>
      </c>
      <c r="H8" s="260"/>
    </row>
    <row r="9" spans="1:9">
      <c r="A9" s="32">
        <v>2310</v>
      </c>
      <c r="B9" t="s">
        <v>818</v>
      </c>
      <c r="C9" s="246">
        <f t="shared" si="0"/>
        <v>18801.07</v>
      </c>
      <c r="D9" s="245">
        <v>18801.07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18340.8</v>
      </c>
      <c r="D10" s="244"/>
      <c r="E10" s="245">
        <v>18340.8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367474.75</v>
      </c>
      <c r="D11" s="245">
        <v>367474.75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2780542.4899999998</v>
      </c>
      <c r="D12" s="20">
        <f>'DOE25'!L204+'DOE25'!L222+'DOE25'!L240-F12-G12</f>
        <v>2771300.4899999998</v>
      </c>
      <c r="E12" s="244"/>
      <c r="F12" s="256">
        <f>'DOE25'!J204+'DOE25'!J222+'DOE25'!J240</f>
        <v>0</v>
      </c>
      <c r="G12" s="53">
        <f>'DOE25'!K204+'DOE25'!K222+'DOE25'!K240</f>
        <v>9242</v>
      </c>
      <c r="H12" s="260"/>
    </row>
    <row r="13" spans="1:9">
      <c r="A13" s="32">
        <v>2500</v>
      </c>
      <c r="B13" t="s">
        <v>803</v>
      </c>
      <c r="C13" s="246">
        <f t="shared" si="0"/>
        <v>339513.07999999996</v>
      </c>
      <c r="D13" s="244"/>
      <c r="E13" s="20">
        <f>'DOE25'!L205+'DOE25'!L223+'DOE25'!L241-F13-G13</f>
        <v>339513.07999999996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4069490.7699999996</v>
      </c>
      <c r="D14" s="20">
        <f>'DOE25'!L206+'DOE25'!L224+'DOE25'!L242-F14-G14</f>
        <v>4040917.2399999998</v>
      </c>
      <c r="E14" s="244"/>
      <c r="F14" s="256">
        <f>'DOE25'!J206+'DOE25'!J224+'DOE25'!J242</f>
        <v>28573.53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2416126.4500000002</v>
      </c>
      <c r="D15" s="20">
        <f>'DOE25'!L207+'DOE25'!L225+'DOE25'!L243-F15-G15</f>
        <v>2416126.4500000002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112812.45</v>
      </c>
      <c r="D16" s="244"/>
      <c r="E16" s="20">
        <f>'DOE25'!L208+'DOE25'!L226+'DOE25'!L244-F16-G16</f>
        <v>112812.45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208260.73</v>
      </c>
      <c r="D17" s="20">
        <f>'DOE25'!L250-F17-G17</f>
        <v>208260.73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836601.42999999993</v>
      </c>
      <c r="D22" s="244"/>
      <c r="E22" s="244"/>
      <c r="F22" s="256">
        <f>'DOE25'!L254+'DOE25'!L335</f>
        <v>836601.42999999993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1990242.5</v>
      </c>
      <c r="D25" s="244"/>
      <c r="E25" s="244"/>
      <c r="F25" s="259"/>
      <c r="G25" s="257"/>
      <c r="H25" s="258">
        <f>'DOE25'!L259+'DOE25'!L260+'DOE25'!L340+'DOE25'!L341</f>
        <v>1990242.5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979355.80999999994</v>
      </c>
      <c r="D29" s="20">
        <f>'DOE25'!L357+'DOE25'!L358+'DOE25'!L359-'DOE25'!I366-F29-G29</f>
        <v>968593.59</v>
      </c>
      <c r="E29" s="244"/>
      <c r="F29" s="256">
        <f>'DOE25'!J357+'DOE25'!J358+'DOE25'!J359</f>
        <v>10762.22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2265042.7900000005</v>
      </c>
      <c r="D31" s="20">
        <f>'DOE25'!L289+'DOE25'!L308+'DOE25'!L327+'DOE25'!L332+'DOE25'!L333+'DOE25'!L334-F31-G31</f>
        <v>2041458.7300000002</v>
      </c>
      <c r="E31" s="244"/>
      <c r="F31" s="256">
        <f>'DOE25'!J289+'DOE25'!J308+'DOE25'!J327+'DOE25'!J332+'DOE25'!J333+'DOE25'!J334</f>
        <v>212333.88</v>
      </c>
      <c r="G31" s="53">
        <f>'DOE25'!K289+'DOE25'!K308+'DOE25'!K327+'DOE25'!K332+'DOE25'!K333+'DOE25'!K334</f>
        <v>11250.18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53476546.930000007</v>
      </c>
      <c r="E33" s="247">
        <f>SUM(E5:E31)</f>
        <v>932031.61999999988</v>
      </c>
      <c r="F33" s="247">
        <f>SUM(F5:F31)</f>
        <v>1449095.79</v>
      </c>
      <c r="G33" s="247">
        <f>SUM(G5:G31)</f>
        <v>48057.93</v>
      </c>
      <c r="H33" s="247">
        <f>SUM(H5:H31)</f>
        <v>1990242.5</v>
      </c>
    </row>
    <row r="35" spans="2:8" ht="12" thickBot="1">
      <c r="B35" s="254" t="s">
        <v>847</v>
      </c>
      <c r="D35" s="255">
        <f>E33</f>
        <v>932031.61999999988</v>
      </c>
      <c r="E35" s="250"/>
    </row>
    <row r="36" spans="2:8" ht="12" thickTop="1">
      <c r="B36" t="s">
        <v>815</v>
      </c>
      <c r="D36" s="20">
        <f>D33</f>
        <v>53476546.930000007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3" sqref="C3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Salem School District  SAU 57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1495097.13</v>
      </c>
      <c r="D8" s="95">
        <f>'DOE25'!G9</f>
        <v>72279.75</v>
      </c>
      <c r="E8" s="95">
        <f>'DOE25'!H9</f>
        <v>0</v>
      </c>
      <c r="F8" s="95">
        <f>'DOE25'!I9</f>
        <v>289416.88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123550.44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364063.85</v>
      </c>
      <c r="D11" s="95">
        <f>'DOE25'!G12</f>
        <v>316261.86</v>
      </c>
      <c r="E11" s="95">
        <f>'DOE25'!H12</f>
        <v>140123.62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42255.21</v>
      </c>
      <c r="E12" s="95">
        <f>'DOE25'!H13</f>
        <v>391706.07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120645.54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1979806.52</v>
      </c>
      <c r="D18" s="41">
        <f>SUM(D8:D17)</f>
        <v>430796.82</v>
      </c>
      <c r="E18" s="41">
        <f>SUM(E8:E17)</f>
        <v>531829.68999999994</v>
      </c>
      <c r="F18" s="41">
        <f>SUM(F8:F17)</f>
        <v>289416.88</v>
      </c>
      <c r="G18" s="41">
        <f>SUM(G8:G17)</f>
        <v>123550.44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456385.48</v>
      </c>
      <c r="D21" s="95">
        <f>'DOE25'!G22</f>
        <v>0</v>
      </c>
      <c r="E21" s="95">
        <f>'DOE25'!H22</f>
        <v>364063.85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298567.56</v>
      </c>
      <c r="D23" s="95">
        <f>'DOE25'!G24</f>
        <v>2564.1999999999998</v>
      </c>
      <c r="E23" s="95">
        <f>'DOE25'!H24</f>
        <v>18173.599999999999</v>
      </c>
      <c r="F23" s="95">
        <f>'DOE25'!I24</f>
        <v>177000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87864.52</v>
      </c>
      <c r="D28" s="95">
        <f>'DOE25'!G29</f>
        <v>717.79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842817.56</v>
      </c>
      <c r="D31" s="41">
        <f>SUM(D21:D30)</f>
        <v>3281.99</v>
      </c>
      <c r="E31" s="41">
        <f>SUM(E21:E30)</f>
        <v>382237.44999999995</v>
      </c>
      <c r="F31" s="41">
        <f>SUM(F21:F30)</f>
        <v>177000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91617.75</v>
      </c>
      <c r="D46" s="95">
        <f>'DOE25'!G47</f>
        <v>427514.83</v>
      </c>
      <c r="E46" s="95">
        <f>'DOE25'!H47</f>
        <v>146392.24</v>
      </c>
      <c r="F46" s="95">
        <f>'DOE25'!I47</f>
        <v>112416.88</v>
      </c>
      <c r="G46" s="95">
        <f>'DOE25'!J47</f>
        <v>123550.44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253357.45</v>
      </c>
      <c r="D47" s="95">
        <f>'DOE25'!G48</f>
        <v>0</v>
      </c>
      <c r="E47" s="95">
        <f>'DOE25'!H48</f>
        <v>3200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792013.76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1136988.96</v>
      </c>
      <c r="D49" s="41">
        <f>SUM(D34:D48)</f>
        <v>427514.83</v>
      </c>
      <c r="E49" s="41">
        <f>SUM(E34:E48)</f>
        <v>149592.24</v>
      </c>
      <c r="F49" s="41">
        <f>SUM(F34:F48)</f>
        <v>112416.88</v>
      </c>
      <c r="G49" s="41">
        <f>SUM(G34:G48)</f>
        <v>123550.44</v>
      </c>
      <c r="H49" s="124"/>
      <c r="I49" s="124"/>
    </row>
    <row r="50" spans="1:9" ht="12" thickTop="1">
      <c r="A50" s="38" t="s">
        <v>895</v>
      </c>
      <c r="B50" s="2"/>
      <c r="C50" s="41">
        <f>C49+C31</f>
        <v>1979806.52</v>
      </c>
      <c r="D50" s="41">
        <f>D49+D31</f>
        <v>430796.82</v>
      </c>
      <c r="E50" s="41">
        <f>E49+E31</f>
        <v>531829.68999999994</v>
      </c>
      <c r="F50" s="41">
        <f>F49+F31</f>
        <v>289416.88</v>
      </c>
      <c r="G50" s="41">
        <f>G49+G31</f>
        <v>123550.44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35804128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542608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484.21</v>
      </c>
      <c r="D58" s="95">
        <f>'DOE25'!G95</f>
        <v>320.68</v>
      </c>
      <c r="E58" s="95">
        <f>'DOE25'!H95</f>
        <v>0</v>
      </c>
      <c r="F58" s="95">
        <f>'DOE25'!I95</f>
        <v>8862.11</v>
      </c>
      <c r="G58" s="95">
        <f>'DOE25'!J95</f>
        <v>53.08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1308803.6499999999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164306.04</v>
      </c>
      <c r="D60" s="95">
        <f>SUM('DOE25'!G97:G109)</f>
        <v>0</v>
      </c>
      <c r="E60" s="95">
        <f>SUM('DOE25'!H97:H109)</f>
        <v>13525</v>
      </c>
      <c r="F60" s="95">
        <f>SUM('DOE25'!I97:I109)</f>
        <v>0</v>
      </c>
      <c r="G60" s="95">
        <f>SUM('DOE25'!J97:J109)</f>
        <v>16715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707398.25</v>
      </c>
      <c r="D61" s="130">
        <f>SUM(D56:D60)</f>
        <v>1309124.3299999998</v>
      </c>
      <c r="E61" s="130">
        <f>SUM(E56:E60)</f>
        <v>13525</v>
      </c>
      <c r="F61" s="130">
        <f>SUM(F56:F60)</f>
        <v>8862.11</v>
      </c>
      <c r="G61" s="130">
        <f>SUM(G56:G60)</f>
        <v>16768.080000000002</v>
      </c>
      <c r="H61"/>
      <c r="I61"/>
    </row>
    <row r="62" spans="1:9" ht="12" thickTop="1">
      <c r="A62" s="29" t="s">
        <v>175</v>
      </c>
      <c r="B62" s="6"/>
      <c r="C62" s="22">
        <f>C55+C61</f>
        <v>36511526.25</v>
      </c>
      <c r="D62" s="22">
        <f>D55+D61</f>
        <v>1309124.3299999998</v>
      </c>
      <c r="E62" s="22">
        <f>E55+E61</f>
        <v>13525</v>
      </c>
      <c r="F62" s="22">
        <f>F55+F61</f>
        <v>8862.11</v>
      </c>
      <c r="G62" s="22">
        <f>G55+G61</f>
        <v>16768.080000000002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5312719.88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8965888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4603.12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14283210.999999998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540110.69999999995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940039.93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377775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1090848.1599999999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146788.81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50610.41</v>
      </c>
      <c r="D76" s="95">
        <f>SUM('DOE25'!G130:G134)</f>
        <v>21501.67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3146173.0100000002</v>
      </c>
      <c r="D77" s="130">
        <f>SUM(D71:D76)</f>
        <v>21501.67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17429384.009999998</v>
      </c>
      <c r="D80" s="130">
        <f>SUM(D78:D79)+D77+D69</f>
        <v>21501.67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58861.34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483113.93</v>
      </c>
      <c r="D87" s="95">
        <f>SUM('DOE25'!G152:G160)</f>
        <v>463570.85</v>
      </c>
      <c r="E87" s="95">
        <f>SUM('DOE25'!H152:H160)</f>
        <v>2229870.4500000002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541975.27</v>
      </c>
      <c r="D90" s="131">
        <f>SUM(D84:D89)</f>
        <v>463570.85</v>
      </c>
      <c r="E90" s="131">
        <f>SUM(E84:E89)</f>
        <v>2229870.4500000002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12054.22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68.22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12122.439999999999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54495007.969999999</v>
      </c>
      <c r="D103" s="86">
        <f>D62+D80+D90+D102</f>
        <v>1794196.8499999996</v>
      </c>
      <c r="E103" s="86">
        <f>E62+E80+E90+E102</f>
        <v>2243395.4500000002</v>
      </c>
      <c r="F103" s="86">
        <f>F62+F80+F90+F102</f>
        <v>8862.11</v>
      </c>
      <c r="G103" s="86">
        <f>G62+G80+G102</f>
        <v>16768.080000000002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23513240.390000004</v>
      </c>
      <c r="D108" s="24" t="s">
        <v>289</v>
      </c>
      <c r="E108" s="95">
        <f>('DOE25'!L275)+('DOE25'!L294)+('DOE25'!L313)</f>
        <v>308095.14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9352695.1400000006</v>
      </c>
      <c r="D109" s="24" t="s">
        <v>289</v>
      </c>
      <c r="E109" s="95">
        <f>('DOE25'!L276)+('DOE25'!L295)+('DOE25'!L314)</f>
        <v>1066932.2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1595651.91</v>
      </c>
      <c r="D110" s="24" t="s">
        <v>289</v>
      </c>
      <c r="E110" s="95">
        <f>('DOE25'!L277)+('DOE25'!L296)+('DOE25'!L315)</f>
        <v>132812.59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943230.39999999991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208260.73</v>
      </c>
      <c r="D113" s="24" t="s">
        <v>289</v>
      </c>
      <c r="E113" s="95">
        <f>+ SUM('DOE25'!L332:L334)</f>
        <v>170116.22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35613078.57</v>
      </c>
      <c r="D114" s="86">
        <f>SUM(D108:D113)</f>
        <v>0</v>
      </c>
      <c r="E114" s="86">
        <f>SUM(E108:E113)</f>
        <v>1677956.15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3699637.0599999996</v>
      </c>
      <c r="D117" s="24" t="s">
        <v>289</v>
      </c>
      <c r="E117" s="95">
        <f>+('DOE25'!L280)+('DOE25'!L299)+('DOE25'!L318)</f>
        <v>308059.39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1915992.21</v>
      </c>
      <c r="D118" s="24" t="s">
        <v>289</v>
      </c>
      <c r="E118" s="95">
        <f>+('DOE25'!L281)+('DOE25'!L300)+('DOE25'!L319)</f>
        <v>279027.25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859198.35999999987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2780542.4899999998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339513.07999999996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4069490.7699999996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2416126.4500000002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112812.45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1766238.38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16193312.869999997</v>
      </c>
      <c r="D127" s="86">
        <f>SUM(D117:D126)</f>
        <v>1766238.38</v>
      </c>
      <c r="E127" s="86">
        <f>SUM(E117:E126)</f>
        <v>587086.64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836601.42999999993</v>
      </c>
      <c r="D129" s="24" t="s">
        <v>289</v>
      </c>
      <c r="E129" s="129">
        <f>'DOE25'!L335</f>
        <v>0</v>
      </c>
      <c r="F129" s="129">
        <f>SUM('DOE25'!L373:'DOE25'!L379)</f>
        <v>8796897.5499999989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1632160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358082.5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8469.0400000000009</v>
      </c>
      <c r="F133" s="95">
        <f>'DOE25'!K380</f>
        <v>0</v>
      </c>
      <c r="G133" s="95">
        <f>'DOE25'!K433</f>
        <v>68.22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16768.080000000002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-16768.080000000002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2826843.9299999997</v>
      </c>
      <c r="D143" s="141">
        <f>SUM(D129:D142)</f>
        <v>0</v>
      </c>
      <c r="E143" s="141">
        <f>SUM(E129:E142)</f>
        <v>8469.0400000000009</v>
      </c>
      <c r="F143" s="141">
        <f>SUM(F129:F142)</f>
        <v>8796897.5499999989</v>
      </c>
      <c r="G143" s="141">
        <f>SUM(G129:G142)</f>
        <v>68.22</v>
      </c>
    </row>
    <row r="144" spans="1:7" ht="12.75" thickTop="1" thickBot="1">
      <c r="A144" s="33" t="s">
        <v>244</v>
      </c>
      <c r="C144" s="86">
        <f>(C114+C127+C143)</f>
        <v>54633235.369999997</v>
      </c>
      <c r="D144" s="86">
        <f>(D114+D127+D143)</f>
        <v>1766238.38</v>
      </c>
      <c r="E144" s="86">
        <f>(E114+E127+E143)</f>
        <v>2273511.83</v>
      </c>
      <c r="F144" s="86">
        <f>(F114+F127+F143)</f>
        <v>8796897.5499999989</v>
      </c>
      <c r="G144" s="86">
        <f>(G114+G127+G143)</f>
        <v>68.22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16</v>
      </c>
      <c r="D150" s="153">
        <f>'DOE25'!H489</f>
        <v>16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7/95</v>
      </c>
      <c r="C151" s="152" t="str">
        <f>'DOE25'!G490</f>
        <v>6/10</v>
      </c>
      <c r="D151" s="152" t="str">
        <f>'DOE25'!H490</f>
        <v>7/10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8/15</v>
      </c>
      <c r="C152" s="152" t="str">
        <f>'DOE25'!G491</f>
        <v>9/26</v>
      </c>
      <c r="D152" s="152" t="str">
        <f>'DOE25'!H491</f>
        <v>10/26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2565000</v>
      </c>
      <c r="C153" s="137">
        <f>'DOE25'!G492</f>
        <v>14506160</v>
      </c>
      <c r="D153" s="137">
        <f>'DOE25'!H492</f>
        <v>7493840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5.25</v>
      </c>
      <c r="C154" s="137" t="str">
        <f>'DOE25'!G493</f>
        <v>QSCB</v>
      </c>
      <c r="D154" s="137">
        <f>'DOE25'!H493</f>
        <v>3.51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1425000</v>
      </c>
      <c r="C155" s="137">
        <f>'DOE25'!G494</f>
        <v>14605160</v>
      </c>
      <c r="D155" s="137">
        <f>'DOE25'!H494</f>
        <v>7493840</v>
      </c>
      <c r="E155" s="137">
        <f>'DOE25'!I494</f>
        <v>0</v>
      </c>
      <c r="F155" s="137">
        <f>'DOE25'!J494</f>
        <v>0</v>
      </c>
      <c r="G155" s="138">
        <f>SUM(B155:F155)</f>
        <v>23524000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285000</v>
      </c>
      <c r="C157" s="137">
        <f>'DOE25'!G496</f>
        <v>911160</v>
      </c>
      <c r="D157" s="137">
        <f>'DOE25'!H496</f>
        <v>436000</v>
      </c>
      <c r="E157" s="137">
        <f>'DOE25'!I496</f>
        <v>0</v>
      </c>
      <c r="F157" s="137">
        <f>'DOE25'!J496</f>
        <v>0</v>
      </c>
      <c r="G157" s="138">
        <f t="shared" si="0"/>
        <v>1632160</v>
      </c>
    </row>
    <row r="158" spans="1:9">
      <c r="A158" s="22" t="s">
        <v>35</v>
      </c>
      <c r="B158" s="137">
        <f>'DOE25'!F497</f>
        <v>1140000</v>
      </c>
      <c r="C158" s="137">
        <f>'DOE25'!G497</f>
        <v>13595000</v>
      </c>
      <c r="D158" s="137">
        <f>'DOE25'!H497</f>
        <v>6550000</v>
      </c>
      <c r="E158" s="137">
        <f>'DOE25'!I497</f>
        <v>0</v>
      </c>
      <c r="F158" s="137">
        <f>'DOE25'!J497</f>
        <v>0</v>
      </c>
      <c r="G158" s="138">
        <f t="shared" si="0"/>
        <v>21285000</v>
      </c>
    </row>
    <row r="159" spans="1:9">
      <c r="A159" s="22" t="s">
        <v>36</v>
      </c>
      <c r="B159" s="137">
        <f>'DOE25'!F498</f>
        <v>127537.51000000001</v>
      </c>
      <c r="C159" s="137">
        <f>'DOE25'!G498</f>
        <v>5489849.75</v>
      </c>
      <c r="D159" s="137">
        <f>'DOE25'!H498</f>
        <v>2278681.25</v>
      </c>
      <c r="E159" s="137">
        <f>'DOE25'!I498</f>
        <v>0</v>
      </c>
      <c r="F159" s="137">
        <f>'DOE25'!J498</f>
        <v>0</v>
      </c>
      <c r="G159" s="138">
        <f t="shared" si="0"/>
        <v>7896068.5099999998</v>
      </c>
    </row>
    <row r="160" spans="1:9">
      <c r="A160" s="22" t="s">
        <v>37</v>
      </c>
      <c r="B160" s="137">
        <f>'DOE25'!F499</f>
        <v>1267537.51</v>
      </c>
      <c r="C160" s="137">
        <f>'DOE25'!G499</f>
        <v>19084849.75</v>
      </c>
      <c r="D160" s="137">
        <f>'DOE25'!H499</f>
        <v>8828681.25</v>
      </c>
      <c r="E160" s="137">
        <f>'DOE25'!I499</f>
        <v>0</v>
      </c>
      <c r="F160" s="137">
        <f>'DOE25'!J499</f>
        <v>0</v>
      </c>
      <c r="G160" s="138">
        <f t="shared" si="0"/>
        <v>29181068.510000002</v>
      </c>
    </row>
    <row r="161" spans="1:7">
      <c r="A161" s="22" t="s">
        <v>38</v>
      </c>
      <c r="B161" s="137">
        <f>'DOE25'!F500</f>
        <v>285000</v>
      </c>
      <c r="C161" s="137">
        <f>'DOE25'!G500</f>
        <v>910000</v>
      </c>
      <c r="D161" s="137">
        <f>'DOE25'!H500</f>
        <v>440000</v>
      </c>
      <c r="E161" s="137">
        <f>'DOE25'!I500</f>
        <v>0</v>
      </c>
      <c r="F161" s="137">
        <f>'DOE25'!J500</f>
        <v>0</v>
      </c>
      <c r="G161" s="138">
        <f t="shared" si="0"/>
        <v>1635000</v>
      </c>
    </row>
    <row r="162" spans="1:7">
      <c r="A162" s="22" t="s">
        <v>39</v>
      </c>
      <c r="B162" s="137">
        <f>'DOE25'!F501</f>
        <v>55575</v>
      </c>
      <c r="C162" s="137">
        <f>'DOE25'!G501</f>
        <v>708246</v>
      </c>
      <c r="D162" s="137">
        <f>'DOE25'!H501</f>
        <v>271512.5</v>
      </c>
      <c r="E162" s="137">
        <f>'DOE25'!I501</f>
        <v>0</v>
      </c>
      <c r="F162" s="137">
        <f>'DOE25'!J501</f>
        <v>0</v>
      </c>
      <c r="G162" s="138">
        <f t="shared" si="0"/>
        <v>1035333.5</v>
      </c>
    </row>
    <row r="163" spans="1:7">
      <c r="A163" s="22" t="s">
        <v>246</v>
      </c>
      <c r="B163" s="137">
        <f>'DOE25'!F502</f>
        <v>340575</v>
      </c>
      <c r="C163" s="137">
        <f>'DOE25'!G502</f>
        <v>1618246</v>
      </c>
      <c r="D163" s="137">
        <f>'DOE25'!H502</f>
        <v>711512.5</v>
      </c>
      <c r="E163" s="137">
        <f>'DOE25'!I502</f>
        <v>0</v>
      </c>
      <c r="F163" s="137">
        <f>'DOE25'!J502</f>
        <v>0</v>
      </c>
      <c r="G163" s="138">
        <f t="shared" si="0"/>
        <v>2670333.5</v>
      </c>
    </row>
  </sheetData>
  <sheetProtection password="BF0A" sheet="1" objects="1" scenarios="1"/>
  <phoneticPr fontId="0" type="noConversion"/>
  <printOptions gridLines="1" gridLinesSet="0"/>
  <pageMargins left="0.23" right="0.2" top="1" bottom="1" header="0.5" footer="0.5"/>
  <pageSetup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3" workbookViewId="0">
      <selection activeCell="C56" sqref="C56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Salem School District  SAU 57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12023</v>
      </c>
    </row>
    <row r="5" spans="1:4">
      <c r="B5" t="s">
        <v>704</v>
      </c>
      <c r="C5" s="179">
        <f>IF('DOE25'!G664+'DOE25'!G669=0,0,ROUND('DOE25'!G671,0))</f>
        <v>9105</v>
      </c>
    </row>
    <row r="6" spans="1:4">
      <c r="B6" t="s">
        <v>62</v>
      </c>
      <c r="C6" s="179">
        <f>IF('DOE25'!H664+'DOE25'!H669=0,0,ROUND('DOE25'!H671,0))</f>
        <v>12398</v>
      </c>
    </row>
    <row r="7" spans="1:4">
      <c r="B7" t="s">
        <v>705</v>
      </c>
      <c r="C7" s="179">
        <f>IF('DOE25'!I664+'DOE25'!I669=0,0,ROUND('DOE25'!I671,0))</f>
        <v>11434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23821336</v>
      </c>
      <c r="D10" s="182">
        <f>ROUND((C10/$C$28)*100,1)</f>
        <v>43.4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10419627</v>
      </c>
      <c r="D11" s="182">
        <f>ROUND((C11/$C$28)*100,1)</f>
        <v>19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1728465</v>
      </c>
      <c r="D12" s="182">
        <f>ROUND((C12/$C$28)*100,1)</f>
        <v>3.1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943230</v>
      </c>
      <c r="D13" s="182">
        <f>ROUND((C13/$C$28)*100,1)</f>
        <v>1.7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4007696</v>
      </c>
      <c r="D15" s="182">
        <f t="shared" ref="D15:D27" si="0">ROUND((C15/$C$28)*100,1)</f>
        <v>7.3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2195019</v>
      </c>
      <c r="D16" s="182">
        <f t="shared" si="0"/>
        <v>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972011</v>
      </c>
      <c r="D17" s="182">
        <f t="shared" si="0"/>
        <v>1.8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2780542</v>
      </c>
      <c r="D18" s="182">
        <f t="shared" si="0"/>
        <v>5.0999999999999996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339513</v>
      </c>
      <c r="D19" s="182">
        <f t="shared" si="0"/>
        <v>0.6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4069491</v>
      </c>
      <c r="D20" s="182">
        <f t="shared" si="0"/>
        <v>7.4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2416126</v>
      </c>
      <c r="D21" s="182">
        <f t="shared" si="0"/>
        <v>4.4000000000000004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378377</v>
      </c>
      <c r="D24" s="182">
        <f t="shared" si="0"/>
        <v>0.7</v>
      </c>
    </row>
    <row r="25" spans="1:4">
      <c r="A25">
        <v>5120</v>
      </c>
      <c r="B25" t="s">
        <v>720</v>
      </c>
      <c r="C25" s="179">
        <f>ROUND('DOE25'!L260+'DOE25'!L341,0)</f>
        <v>358083</v>
      </c>
      <c r="D25" s="182">
        <f t="shared" si="0"/>
        <v>0.7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457434.35000000009</v>
      </c>
      <c r="D27" s="182">
        <f t="shared" si="0"/>
        <v>0.8</v>
      </c>
    </row>
    <row r="28" spans="1:4">
      <c r="B28" s="187" t="s">
        <v>723</v>
      </c>
      <c r="C28" s="180">
        <f>SUM(C10:C27)</f>
        <v>54886950.350000001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9633499</v>
      </c>
    </row>
    <row r="30" spans="1:4">
      <c r="B30" s="187" t="s">
        <v>729</v>
      </c>
      <c r="C30" s="180">
        <f>SUM(C28:C29)</f>
        <v>64520449.350000001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1632160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35804128</v>
      </c>
      <c r="D35" s="182">
        <f t="shared" ref="D35:D40" si="1">ROUND((C35/$C$41)*100,1)</f>
        <v>62.6</v>
      </c>
    </row>
    <row r="36" spans="1:4">
      <c r="B36" s="185" t="s">
        <v>743</v>
      </c>
      <c r="C36" s="179">
        <f>SUM('DOE25'!F111:J111)-SUM('DOE25'!G96:G109)+('DOE25'!F173+'DOE25'!F174+'DOE25'!I173+'DOE25'!I174)-C35</f>
        <v>746874.11999999732</v>
      </c>
      <c r="D36" s="182">
        <f t="shared" si="1"/>
        <v>1.3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14283211</v>
      </c>
      <c r="D37" s="182">
        <f t="shared" si="1"/>
        <v>25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3167675</v>
      </c>
      <c r="D38" s="182">
        <f t="shared" si="1"/>
        <v>5.5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3235417</v>
      </c>
      <c r="D39" s="182">
        <f t="shared" si="1"/>
        <v>5.7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57237305.119999997</v>
      </c>
      <c r="D41" s="184">
        <f>SUM(D35:D40)</f>
        <v>100.10000000000001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Salem School District  SAU 57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2012-09-05T14:37:36Z</cp:lastPrinted>
  <dcterms:created xsi:type="dcterms:W3CDTF">1997-12-04T19:04:30Z</dcterms:created>
  <dcterms:modified xsi:type="dcterms:W3CDTF">2012-11-21T16:01:34Z</dcterms:modified>
</cp:coreProperties>
</file>