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6" i="1" l="1"/>
  <c r="H521" i="1" l="1"/>
  <c r="I521" i="1"/>
  <c r="J95" i="1" l="1"/>
  <c r="J467" i="1"/>
  <c r="G458" i="1"/>
  <c r="G439" i="1"/>
  <c r="F67" i="1" l="1"/>
  <c r="F14" i="1"/>
  <c r="D9" i="13" l="1"/>
  <c r="H563" i="1" l="1"/>
  <c r="H562" i="1"/>
  <c r="I561" i="1"/>
  <c r="H561" i="1"/>
  <c r="G527" i="1"/>
  <c r="F527" i="1"/>
  <c r="G526" i="1"/>
  <c r="F526" i="1"/>
  <c r="G525" i="1"/>
  <c r="F525" i="1"/>
  <c r="H542" i="1"/>
  <c r="H541" i="1"/>
  <c r="H540" i="1"/>
  <c r="H603" i="1" l="1"/>
  <c r="I603" i="1"/>
  <c r="J603" i="1"/>
  <c r="H313" i="1"/>
  <c r="H294" i="1"/>
  <c r="H275" i="1"/>
  <c r="I232" i="1"/>
  <c r="I214" i="1"/>
  <c r="I196" i="1"/>
  <c r="I242" i="1"/>
  <c r="I239" i="1"/>
  <c r="I224" i="1"/>
  <c r="I206" i="1"/>
  <c r="H221" i="1"/>
  <c r="H203" i="1"/>
  <c r="I197" i="1"/>
  <c r="H224" i="1"/>
  <c r="H206" i="1"/>
  <c r="H242" i="1"/>
  <c r="H254" i="1"/>
  <c r="J235" i="1"/>
  <c r="J217" i="1"/>
  <c r="H235" i="1"/>
  <c r="J232" i="1"/>
  <c r="H232" i="1"/>
  <c r="J196" i="1"/>
  <c r="I201" i="1"/>
  <c r="I202" i="1"/>
  <c r="H202" i="1"/>
  <c r="J206" i="1"/>
  <c r="J224" i="1"/>
  <c r="J242" i="1"/>
  <c r="G238" i="1"/>
  <c r="G202" i="1"/>
  <c r="H196" i="1"/>
  <c r="H214" i="1"/>
  <c r="C20" i="12"/>
  <c r="C19" i="12"/>
  <c r="B12" i="12"/>
  <c r="B37" i="12"/>
  <c r="B19" i="12"/>
  <c r="B10" i="12"/>
  <c r="B20" i="12"/>
  <c r="B11" i="12"/>
  <c r="G506" i="1"/>
  <c r="I515" i="1" l="1"/>
  <c r="H512" i="1"/>
  <c r="H513" i="1"/>
  <c r="G515" i="1"/>
  <c r="F501" i="1"/>
  <c r="F500" i="1"/>
  <c r="F498" i="1"/>
  <c r="F497" i="1"/>
  <c r="F496" i="1"/>
  <c r="H612" i="1" l="1"/>
  <c r="H611" i="1"/>
  <c r="H610" i="1"/>
  <c r="G612" i="1"/>
  <c r="G611" i="1"/>
  <c r="G610" i="1"/>
  <c r="F612" i="1"/>
  <c r="F611" i="1"/>
  <c r="F610" i="1"/>
  <c r="H243" i="1"/>
  <c r="H225" i="1"/>
  <c r="H207" i="1"/>
  <c r="I594" i="1"/>
  <c r="J594" i="1"/>
  <c r="I591" i="1"/>
  <c r="H591" i="1"/>
  <c r="J590" i="1"/>
  <c r="I590" i="1"/>
  <c r="H590" i="1"/>
  <c r="H367" i="1"/>
  <c r="G367" i="1"/>
  <c r="F367" i="1"/>
  <c r="J471" i="1"/>
  <c r="G471" i="1"/>
  <c r="I467" i="1"/>
  <c r="H467" i="1"/>
  <c r="G467" i="1"/>
  <c r="H47" i="1"/>
  <c r="F28" i="1" l="1"/>
  <c r="F22" i="1"/>
  <c r="F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2" i="10" s="1"/>
  <c r="L235" i="1"/>
  <c r="F6" i="13"/>
  <c r="G6" i="13"/>
  <c r="L201" i="1"/>
  <c r="L219" i="1"/>
  <c r="L237" i="1"/>
  <c r="F7" i="13"/>
  <c r="G7" i="13"/>
  <c r="L202" i="1"/>
  <c r="D7" i="13" s="1"/>
  <c r="C7" i="13" s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C21" i="10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27" i="1" s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25" i="10" s="1"/>
  <c r="L340" i="1"/>
  <c r="L341" i="1"/>
  <c r="L254" i="1"/>
  <c r="C129" i="2" s="1"/>
  <c r="L335" i="1"/>
  <c r="E129" i="2" s="1"/>
  <c r="E143" i="2" s="1"/>
  <c r="C11" i="13"/>
  <c r="C10" i="13"/>
  <c r="C9" i="13"/>
  <c r="L360" i="1"/>
  <c r="B4" i="12"/>
  <c r="B36" i="12"/>
  <c r="C36" i="12"/>
  <c r="B40" i="12"/>
  <c r="B27" i="12"/>
  <c r="C27" i="12"/>
  <c r="B31" i="12"/>
  <c r="C31" i="12"/>
  <c r="B9" i="12"/>
  <c r="B13" i="12"/>
  <c r="C9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L249" i="1"/>
  <c r="L331" i="1"/>
  <c r="L253" i="1"/>
  <c r="L267" i="1"/>
  <c r="L268" i="1"/>
  <c r="L348" i="1"/>
  <c r="L349" i="1"/>
  <c r="I664" i="1"/>
  <c r="I669" i="1"/>
  <c r="G660" i="1"/>
  <c r="F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E108" i="2"/>
  <c r="E109" i="2"/>
  <c r="C110" i="2"/>
  <c r="E110" i="2"/>
  <c r="E111" i="2"/>
  <c r="C112" i="2"/>
  <c r="E112" i="2"/>
  <c r="C113" i="2"/>
  <c r="E113" i="2"/>
  <c r="D114" i="2"/>
  <c r="F114" i="2"/>
  <c r="G114" i="2"/>
  <c r="E118" i="2"/>
  <c r="C119" i="2"/>
  <c r="E119" i="2"/>
  <c r="C120" i="2"/>
  <c r="E120" i="2"/>
  <c r="C121" i="2"/>
  <c r="E121" i="2"/>
  <c r="E122" i="2"/>
  <c r="C123" i="2"/>
  <c r="E123" i="2"/>
  <c r="C124" i="2"/>
  <c r="E124" i="2"/>
  <c r="D126" i="2"/>
  <c r="D127" i="2" s="1"/>
  <c r="F127" i="2"/>
  <c r="G127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G50" i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G469" i="1"/>
  <c r="H469" i="1"/>
  <c r="I469" i="1"/>
  <c r="J469" i="1"/>
  <c r="G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J618" i="1" s="1"/>
  <c r="G619" i="1"/>
  <c r="J619" i="1" s="1"/>
  <c r="G622" i="1"/>
  <c r="G623" i="1"/>
  <c r="G624" i="1"/>
  <c r="H627" i="1"/>
  <c r="H628" i="1"/>
  <c r="H629" i="1"/>
  <c r="H630" i="1"/>
  <c r="G633" i="1"/>
  <c r="H633" i="1"/>
  <c r="H634" i="1"/>
  <c r="H635" i="1"/>
  <c r="H636" i="1"/>
  <c r="H637" i="1"/>
  <c r="G638" i="1"/>
  <c r="H638" i="1"/>
  <c r="G639" i="1"/>
  <c r="G640" i="1"/>
  <c r="H640" i="1"/>
  <c r="G641" i="1"/>
  <c r="G642" i="1"/>
  <c r="H642" i="1"/>
  <c r="G643" i="1"/>
  <c r="H643" i="1"/>
  <c r="G644" i="1"/>
  <c r="H644" i="1"/>
  <c r="H646" i="1"/>
  <c r="G648" i="1"/>
  <c r="G649" i="1"/>
  <c r="H649" i="1"/>
  <c r="G650" i="1"/>
  <c r="G651" i="1"/>
  <c r="H651" i="1"/>
  <c r="G652" i="1"/>
  <c r="H652" i="1"/>
  <c r="J652" i="1" s="1"/>
  <c r="G653" i="1"/>
  <c r="H653" i="1"/>
  <c r="J653" i="1" s="1"/>
  <c r="H654" i="1"/>
  <c r="F191" i="1"/>
  <c r="L255" i="1"/>
  <c r="G163" i="2"/>
  <c r="G159" i="2"/>
  <c r="C18" i="2"/>
  <c r="F31" i="2"/>
  <c r="C26" i="10"/>
  <c r="L350" i="1"/>
  <c r="A31" i="12"/>
  <c r="C69" i="2"/>
  <c r="D12" i="13"/>
  <c r="C12" i="13" s="1"/>
  <c r="G8" i="2"/>
  <c r="G161" i="2"/>
  <c r="D61" i="2"/>
  <c r="D62" i="2" s="1"/>
  <c r="E49" i="2"/>
  <c r="D18" i="13"/>
  <c r="C18" i="13" s="1"/>
  <c r="D15" i="13"/>
  <c r="C15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E13" i="13"/>
  <c r="C13" i="13" s="1"/>
  <c r="G616" i="1" l="1"/>
  <c r="F49" i="1"/>
  <c r="G570" i="1"/>
  <c r="L533" i="1"/>
  <c r="L544" i="1" s="1"/>
  <c r="L528" i="1"/>
  <c r="F544" i="1"/>
  <c r="C108" i="2"/>
  <c r="D14" i="13"/>
  <c r="C14" i="13" s="1"/>
  <c r="C37" i="12"/>
  <c r="C40" i="12" s="1"/>
  <c r="A40" i="12" s="1"/>
  <c r="C39" i="12"/>
  <c r="C10" i="12"/>
  <c r="C11" i="12"/>
  <c r="C12" i="12"/>
  <c r="K499" i="1"/>
  <c r="G661" i="1"/>
  <c r="I661" i="1" s="1"/>
  <c r="I662" i="1"/>
  <c r="J641" i="1"/>
  <c r="G51" i="1"/>
  <c r="H617" i="1" s="1"/>
  <c r="J617" i="1" s="1"/>
  <c r="K256" i="1"/>
  <c r="K270" i="1" s="1"/>
  <c r="J651" i="1"/>
  <c r="F31" i="13"/>
  <c r="C16" i="10"/>
  <c r="J648" i="1"/>
  <c r="C18" i="10"/>
  <c r="C19" i="10"/>
  <c r="F256" i="1"/>
  <c r="F270" i="1" s="1"/>
  <c r="C17" i="10"/>
  <c r="F139" i="1"/>
  <c r="I337" i="1"/>
  <c r="I351" i="1" s="1"/>
  <c r="G33" i="13"/>
  <c r="C24" i="10"/>
  <c r="C13" i="10"/>
  <c r="D50" i="2"/>
  <c r="I256" i="1"/>
  <c r="I270" i="1" s="1"/>
  <c r="J649" i="1"/>
  <c r="E114" i="2"/>
  <c r="G256" i="1"/>
  <c r="G270" i="1" s="1"/>
  <c r="C111" i="2"/>
  <c r="C20" i="10"/>
  <c r="L228" i="1"/>
  <c r="L210" i="1"/>
  <c r="L361" i="1"/>
  <c r="F660" i="1"/>
  <c r="H660" i="1"/>
  <c r="I660" i="1" s="1"/>
  <c r="C118" i="2"/>
  <c r="C122" i="2"/>
  <c r="C10" i="10"/>
  <c r="L246" i="1"/>
  <c r="H659" i="1" s="1"/>
  <c r="C117" i="2"/>
  <c r="C15" i="10"/>
  <c r="L289" i="1"/>
  <c r="E117" i="2"/>
  <c r="E127" i="2" s="1"/>
  <c r="C11" i="10"/>
  <c r="C109" i="2"/>
  <c r="C114" i="2" s="1"/>
  <c r="A22" i="12"/>
  <c r="C80" i="2"/>
  <c r="C103" i="2" s="1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G551" i="1"/>
  <c r="L433" i="1"/>
  <c r="G637" i="1" s="1"/>
  <c r="E50" i="2"/>
  <c r="J643" i="1"/>
  <c r="J642" i="1"/>
  <c r="J475" i="1"/>
  <c r="H625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J139" i="1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551" i="1"/>
  <c r="H551" i="1"/>
  <c r="C29" i="10"/>
  <c r="H139" i="1"/>
  <c r="L400" i="1"/>
  <c r="C138" i="2" s="1"/>
  <c r="L392" i="1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F551" i="1"/>
  <c r="C35" i="10"/>
  <c r="L308" i="1"/>
  <c r="D5" i="13"/>
  <c r="E16" i="13"/>
  <c r="J654" i="1"/>
  <c r="J644" i="1"/>
  <c r="J192" i="1"/>
  <c r="L569" i="1"/>
  <c r="I570" i="1"/>
  <c r="I544" i="1"/>
  <c r="J635" i="1"/>
  <c r="G36" i="2"/>
  <c r="G49" i="2" s="1"/>
  <c r="G50" i="2" s="1"/>
  <c r="J50" i="1"/>
  <c r="C39" i="10"/>
  <c r="L564" i="1"/>
  <c r="G544" i="1"/>
  <c r="H544" i="1"/>
  <c r="K550" i="1"/>
  <c r="F143" i="2"/>
  <c r="F144" i="2" s="1"/>
  <c r="C48" i="2" l="1"/>
  <c r="C49" i="2" s="1"/>
  <c r="C50" i="2" s="1"/>
  <c r="F50" i="1"/>
  <c r="L570" i="1"/>
  <c r="K551" i="1"/>
  <c r="J647" i="1"/>
  <c r="C13" i="12"/>
  <c r="A13" i="12" s="1"/>
  <c r="C38" i="10"/>
  <c r="C41" i="10" s="1"/>
  <c r="D39" i="10" s="1"/>
  <c r="C36" i="10"/>
  <c r="H192" i="1"/>
  <c r="G628" i="1" s="1"/>
  <c r="J628" i="1" s="1"/>
  <c r="F192" i="1"/>
  <c r="J270" i="1"/>
  <c r="F659" i="1"/>
  <c r="F663" i="1" s="1"/>
  <c r="F671" i="1" s="1"/>
  <c r="C4" i="10" s="1"/>
  <c r="L256" i="1"/>
  <c r="L270" i="1" s="1"/>
  <c r="E144" i="2"/>
  <c r="C27" i="10"/>
  <c r="G634" i="1"/>
  <c r="J634" i="1" s="1"/>
  <c r="H663" i="1"/>
  <c r="H671" i="1" s="1"/>
  <c r="C6" i="10" s="1"/>
  <c r="C127" i="2"/>
  <c r="C28" i="10"/>
  <c r="D25" i="10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C25" i="13"/>
  <c r="H33" i="13"/>
  <c r="G630" i="1"/>
  <c r="J630" i="1" s="1"/>
  <c r="G645" i="1"/>
  <c r="G625" i="1"/>
  <c r="J51" i="1"/>
  <c r="H620" i="1" s="1"/>
  <c r="J620" i="1" s="1"/>
  <c r="G626" i="1" l="1"/>
  <c r="F467" i="1"/>
  <c r="F51" i="1"/>
  <c r="H616" i="1" s="1"/>
  <c r="J616" i="1" s="1"/>
  <c r="G621" i="1"/>
  <c r="G632" i="1"/>
  <c r="H471" i="1"/>
  <c r="G631" i="1"/>
  <c r="F471" i="1"/>
  <c r="F666" i="1"/>
  <c r="C144" i="2"/>
  <c r="H666" i="1"/>
  <c r="D19" i="10"/>
  <c r="D12" i="10"/>
  <c r="D11" i="10"/>
  <c r="D21" i="10"/>
  <c r="D16" i="10"/>
  <c r="C30" i="10"/>
  <c r="D23" i="10"/>
  <c r="D10" i="10"/>
  <c r="D20" i="10"/>
  <c r="D13" i="10"/>
  <c r="D18" i="10"/>
  <c r="D26" i="10"/>
  <c r="D17" i="10"/>
  <c r="D15" i="10"/>
  <c r="D27" i="10"/>
  <c r="D22" i="10"/>
  <c r="D24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F469" i="1" l="1"/>
  <c r="H626" i="1"/>
  <c r="J626" i="1" s="1"/>
  <c r="H632" i="1"/>
  <c r="H473" i="1"/>
  <c r="H475" i="1" s="1"/>
  <c r="H623" i="1" s="1"/>
  <c r="J623" i="1" s="1"/>
  <c r="J632" i="1"/>
  <c r="F473" i="1"/>
  <c r="F475" i="1" s="1"/>
  <c r="H621" i="1" s="1"/>
  <c r="J621" i="1" s="1"/>
  <c r="H631" i="1"/>
  <c r="J631" i="1" s="1"/>
  <c r="D41" i="10"/>
  <c r="D28" i="10"/>
  <c r="I666" i="1"/>
  <c r="I671" i="1"/>
  <c r="C7" i="10" s="1"/>
  <c r="G671" i="1"/>
  <c r="C5" i="10" s="1"/>
  <c r="G666" i="1"/>
  <c r="H655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<sst xmlns="http://schemas.openxmlformats.org/spreadsheetml/2006/main" count="3946" uniqueCount="912">
  <si>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</si>
  <si>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</si>
  <si>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</si>
  <si>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</si>
  <si>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</si>
  <si>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</si>
  <si>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</si>
  <si>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</si>
  <si>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</si>
  <si>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</si>
  <si>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</si>
  <si>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</si>
  <si>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</si>
  <si>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</si>
  <si>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</si>
  <si>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</si>
  <si>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</si>
  <si>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</si>
  <si>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</si>
  <si>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</si>
  <si>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</si>
  <si>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</si>
  <si>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</si>
  <si>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</si>
  <si>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</si>
  <si>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</si>
  <si>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</si>
  <si>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</si>
  <si>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</si>
  <si>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</si>
  <si>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</si>
  <si>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</si>
  <si>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</si>
  <si>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</si>
  <si>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</si>
  <si>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</si>
  <si>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</si>
  <si>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</si>
  <si>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</si>
  <si>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</si>
  <si>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</si>
  <si>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</si>
  <si>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</si>
  <si>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</si>
  <si>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</si>
  <si>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</si>
  <si>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</si>
  <si>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</si>
  <si>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</si>
  <si>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</si>
  <si>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</si>
  <si>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</si>
  <si>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</si>
  <si>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</si>
  <si>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</si>
  <si>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</si>
  <si>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</si>
  <si>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</si>
  <si>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</si>
  <si>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</si>
  <si>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</si>
  <si>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</si>
  <si>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</si>
  <si>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</si>
  <si>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</si>
  <si>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</si>
  <si>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</si>
  <si>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</si>
  <si>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</si>
  <si>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</si>
  <si>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</si>
  <si>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</si>
  <si>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</si>
  <si>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</si>
  <si>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</si>
  <si>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</si>
  <si>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</si>
  <si>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</si>
  <si>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</si>
  <si>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</si>
  <si>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</si>
  <si>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</si>
  <si>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</si>
  <si>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</si>
  <si>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</si>
  <si>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</si>
  <si>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</si>
  <si>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</si>
  <si>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</si>
  <si>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</si>
  <si>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</si>
  <si>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</si>
  <si>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</si>
  <si>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</si>
  <si>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</si>
  <si>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</si>
  <si>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</si>
  <si>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</si>
  <si>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</si>
  <si>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</si>
  <si>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</si>
  <si>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</si>
  <si>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</si>
  <si>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</si>
  <si>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</si>
  <si>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</si>
  <si>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</si>
  <si>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</si>
  <si>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</si>
  <si>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</si>
  <si>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</si>
  <si>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</si>
  <si>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</si>
  <si>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</si>
  <si>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</si>
  <si>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</si>
  <si>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</si>
  <si>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</si>
  <si>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</si>
  <si>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</si>
  <si>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</si>
  <si>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</si>
  <si>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</si>
  <si>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</si>
  <si>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</si>
  <si>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</si>
  <si>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</si>
  <si>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</si>
  <si>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</si>
  <si>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</si>
  <si>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</si>
  <si>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</si>
  <si>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</si>
  <si>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</si>
  <si>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</si>
  <si>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</si>
  <si>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</si>
  <si>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</si>
  <si>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</si>
  <si>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</si>
  <si>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</si>
  <si>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</si>
  <si>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</si>
  <si>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</si>
  <si>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</si>
  <si>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</si>
  <si>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</si>
  <si>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</si>
  <si>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</si>
  <si>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</si>
  <si>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</si>
  <si>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</si>
  <si>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</si>
  <si>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</si>
  <si>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</si>
  <si>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</si>
  <si>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</si>
  <si>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</si>
  <si>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</si>
  <si>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</si>
  <si>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</si>
  <si>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</si>
  <si>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</si>
  <si>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</si>
  <si>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</si>
  <si>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</si>
  <si>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</si>
  <si>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</si>
  <si>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</si>
  <si>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</si>
  <si>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</si>
  <si>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</si>
  <si>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</si>
  <si>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</si>
  <si>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</si>
  <si>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</si>
  <si>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</si>
  <si>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</si>
  <si>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</si>
  <si>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</si>
  <si>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</si>
  <si>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</si>
  <si>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</si>
  <si>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</si>
  <si>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</si>
  <si>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</si>
  <si>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</si>
  <si>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</si>
  <si>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</si>
  <si>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</si>
  <si>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</si>
  <si>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</si>
  <si>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</si>
  <si>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</si>
  <si>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</si>
  <si>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</si>
  <si>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</si>
  <si>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</si>
  <si>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</si>
  <si>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</si>
  <si>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</si>
  <si>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</si>
  <si>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</si>
  <si>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</si>
  <si>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</si>
  <si>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</si>
  <si>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</si>
  <si>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</si>
  <si>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</si>
  <si>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</si>
  <si>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</si>
  <si>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</si>
  <si>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</si>
  <si>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</si>
  <si>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</si>
  <si>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</si>
  <si>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</si>
  <si>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</si>
  <si>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</si>
  <si>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</si>
  <si>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</si>
  <si>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</si>
  <si>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</si>
  <si>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</si>
  <si>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</si>
  <si>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</si>
  <si>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</si>
  <si>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</si>
  <si>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</si>
  <si>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</si>
  <si>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</si>
  <si>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</si>
  <si>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</si>
  <si>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</si>
  <si>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</si>
  <si>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</si>
  <si>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</si>
  <si>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</si>
  <si>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</si>
  <si>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</si>
  <si>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</si>
  <si>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</si>
  <si>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</si>
  <si>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</si>
  <si>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</si>
  <si>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</si>
  <si>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</si>
  <si>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</si>
  <si>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</si>
  <si>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</si>
  <si>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</si>
  <si>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</si>
  <si>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</si>
  <si>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</si>
  <si>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</si>
  <si>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</si>
  <si>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</si>
  <si>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</si>
  <si>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</si>
  <si>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</si>
  <si>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</si>
  <si>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</si>
  <si>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</si>
  <si>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</si>
  <si>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</si>
  <si>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</si>
  <si>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</si>
  <si>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</si>
  <si>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</si>
  <si>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</si>
  <si>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</si>
  <si>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</si>
  <si>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</si>
  <si>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</si>
  <si>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</si>
  <si>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</si>
  <si>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</si>
  <si>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</si>
  <si>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</si>
  <si>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</si>
  <si>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</si>
  <si>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</si>
  <si>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</si>
  <si>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</si>
  <si>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</si>
  <si>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</si>
  <si>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</si>
  <si>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</si>
  <si>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</si>
  <si>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</si>
  <si>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</si>
  <si>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</si>
  <si>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</si>
  <si>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</si>
  <si>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</si>
  <si>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</si>
  <si>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</si>
  <si>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</si>
  <si>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</si>
  <si>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</si>
  <si>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</si>
  <si>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</si>
  <si>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</si>
  <si>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</si>
  <si>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</si>
  <si>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</si>
  <si>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</si>
  <si>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</si>
  <si>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</si>
  <si>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</si>
  <si>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</si>
  <si>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</si>
  <si>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</si>
  <si>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</si>
  <si>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</si>
  <si>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</si>
  <si>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</si>
  <si>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</si>
  <si>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</si>
  <si>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</si>
  <si>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</si>
  <si>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</si>
  <si>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</si>
  <si>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</si>
  <si>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</si>
  <si>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</si>
  <si>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</si>
  <si>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</si>
  <si>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</si>
  <si>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</si>
  <si>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</si>
  <si>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</si>
  <si>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</si>
  <si>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</si>
  <si>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</si>
  <si>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</si>
  <si>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</si>
  <si>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</si>
  <si>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</si>
  <si>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</si>
  <si>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</si>
  <si>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</si>
  <si>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</si>
  <si>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</si>
  <si>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</si>
  <si>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</si>
  <si>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</si>
  <si>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</si>
  <si>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</si>
  <si>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</si>
  <si>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</si>
  <si>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</si>
  <si>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</si>
  <si>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</si>
  <si>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</si>
  <si>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</si>
  <si>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</si>
  <si>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</si>
  <si>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</si>
  <si>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</si>
  <si>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</si>
  <si>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</si>
  <si>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</si>
  <si>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</si>
  <si>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</si>
  <si>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</si>
  <si>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</si>
  <si>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</si>
  <si>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</si>
  <si>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</si>
  <si>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</si>
  <si>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</si>
  <si>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</si>
  <si>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</si>
  <si>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</si>
  <si>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</si>
  <si>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</si>
  <si>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</si>
  <si>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</si>
  <si>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</si>
  <si>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</si>
  <si>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</si>
  <si>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</si>
  <si>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</si>
  <si>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</si>
  <si>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</si>
  <si>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</si>
  <si>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</si>
  <si>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</si>
  <si>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</si>
  <si>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</si>
  <si>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</si>
  <si>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</si>
  <si>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</si>
  <si>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</si>
  <si>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</si>
  <si>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</si>
  <si>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</si>
  <si>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</si>
  <si>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</si>
  <si>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</si>
  <si>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</si>
  <si>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</si>
  <si>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</si>
  <si>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</si>
  <si>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</si>
  <si>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</si>
  <si>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</si>
  <si>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</si>
  <si>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</si>
  <si>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</si>
  <si>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</si>
  <si>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</si>
  <si>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</si>
  <si>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</si>
  <si>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</si>
  <si>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</si>
  <si>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</si>
  <si>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</si>
  <si>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</si>
  <si>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</si>
  <si>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</si>
  <si>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</si>
  <si>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</si>
  <si>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</si>
  <si>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</si>
  <si>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</si>
  <si>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</si>
  <si>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</si>
  <si>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</si>
  <si>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</si>
  <si>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</si>
  <si>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</si>
  <si>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</si>
  <si>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</si>
  <si>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</si>
  <si>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</si>
  <si>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</si>
  <si>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</si>
  <si>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</si>
  <si>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</si>
  <si>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</si>
  <si>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</si>
  <si>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</si>
  <si>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</si>
  <si>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</si>
  <si>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</si>
  <si>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</si>
  <si>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</si>
  <si>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</si>
  <si>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</si>
  <si>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</si>
  <si>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</si>
  <si>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</si>
  <si>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</si>
  <si>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</si>
  <si>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</si>
  <si>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</si>
  <si>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</si>
  <si>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</si>
  <si>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</si>
  <si>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</si>
  <si>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</si>
  <si>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</si>
  <si>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</si>
  <si>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</si>
  <si>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</si>
  <si>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</si>
  <si>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</si>
  <si>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</si>
  <si>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</si>
  <si>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</si>
  <si>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</si>
  <si>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</si>
  <si>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</si>
  <si>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</si>
  <si>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</si>
  <si>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</si>
  <si>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</si>
  <si>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</si>
  <si>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</si>
  <si>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</si>
  <si>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</si>
  <si>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</si>
  <si>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</si>
  <si>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</si>
  <si>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</si>
  <si>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</si>
  <si>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</si>
  <si>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</si>
  <si>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</si>
  <si>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</si>
  <si>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</si>
  <si>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</si>
  <si>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</si>
  <si>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</si>
  <si>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</si>
  <si>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</si>
  <si>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</si>
  <si>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</si>
  <si>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</si>
  <si>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</si>
  <si>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</si>
  <si>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</si>
  <si>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</si>
  <si>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</si>
  <si>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</si>
  <si>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</si>
  <si>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</si>
  <si>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</si>
  <si>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</si>
  <si>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</si>
  <si>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</si>
  <si>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</si>
  <si>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</si>
  <si>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</si>
  <si>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</si>
  <si>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</si>
  <si>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</si>
  <si>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</si>
  <si>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</si>
  <si>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</si>
  <si>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</si>
  <si>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</si>
  <si>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</si>
  <si>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</si>
  <si>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</si>
  <si>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</si>
  <si>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</si>
  <si>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</si>
  <si>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</si>
  <si>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</si>
  <si>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</si>
  <si>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</si>
  <si>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</si>
  <si>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</si>
  <si>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</si>
  <si>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</si>
  <si>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</si>
  <si>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</si>
  <si>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</si>
  <si>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</si>
  <si>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</si>
  <si>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</si>
  <si>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</si>
  <si>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</si>
  <si>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</si>
  <si>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</si>
  <si>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</si>
  <si>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</si>
  <si>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</si>
  <si>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</si>
  <si>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</si>
  <si>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</si>
  <si>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</si>
  <si>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</si>
  <si>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</si>
  <si>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</si>
  <si>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</si>
  <si>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</si>
  <si>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</si>
  <si>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</si>
  <si>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</si>
  <si>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</si>
  <si>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</si>
  <si>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</si>
  <si>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</si>
  <si>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</si>
  <si>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</si>
  <si>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</si>
  <si>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</si>
  <si>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</si>
  <si>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</si>
  <si>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</si>
  <si>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</si>
  <si>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</si>
  <si>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</si>
  <si>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</si>
  <si>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</si>
  <si>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</si>
  <si>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</si>
  <si>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</si>
  <si>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</si>
  <si>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</si>
  <si>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</si>
  <si>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</si>
  <si>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</si>
  <si>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</si>
  <si>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</si>
  <si>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</si>
  <si>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</si>
  <si>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</si>
  <si>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</si>
  <si>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</si>
  <si>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</si>
  <si>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</si>
  <si>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</si>
  <si>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</si>
  <si>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</si>
  <si>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</si>
  <si>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</si>
  <si>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</si>
  <si>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</si>
  <si>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</si>
  <si>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</si>
  <si>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</si>
  <si>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</si>
  <si>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</si>
  <si>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</si>
  <si>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</si>
  <si>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</si>
  <si>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</si>
  <si>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</si>
  <si>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</si>
  <si>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</si>
  <si>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</si>
  <si>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</si>
  <si>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</si>
  <si>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</si>
  <si>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</si>
  <si>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</si>
  <si>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</si>
  <si>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</si>
  <si>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</si>
  <si>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</si>
  <si>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</si>
  <si>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</si>
  <si>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</si>
  <si>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</si>
  <si>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</si>
  <si>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</si>
  <si>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</si>
  <si>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</si>
  <si>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</si>
  <si>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</si>
  <si>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</si>
  <si>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</si>
  <si>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</si>
  <si>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</si>
  <si>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</si>
  <si>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</si>
  <si>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</si>
  <si>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</si>
  <si>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</si>
  <si>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</si>
  <si>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</si>
  <si>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</si>
  <si>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</si>
  <si>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</si>
  <si>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</si>
  <si>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</si>
  <si>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</si>
  <si>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</si>
  <si>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</si>
  <si>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</si>
  <si>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</si>
  <si>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</si>
  <si>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</si>
  <si>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</si>
  <si>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</si>
  <si>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</si>
  <si>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</si>
  <si>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</si>
  <si>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</si>
  <si>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</si>
  <si>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</si>
  <si>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</si>
  <si>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</si>
  <si>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</si>
  <si>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</si>
  <si>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</si>
  <si>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</si>
  <si>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</si>
  <si>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</si>
  <si>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</si>
  <si>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</si>
  <si>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</si>
  <si>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</si>
  <si>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</si>
  <si>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</si>
  <si>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</si>
  <si>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</si>
  <si>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</si>
  <si>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</si>
  <si>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</si>
  <si>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</si>
  <si>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</si>
  <si>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</si>
  <si>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</si>
  <si>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</si>
  <si>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</si>
  <si>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</si>
  <si>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</si>
  <si>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</si>
  <si>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</si>
  <si>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</si>
  <si>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</si>
  <si>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</si>
  <si>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</si>
  <si>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</si>
  <si>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</si>
  <si>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</si>
  <si>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</si>
  <si>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</si>
  <si>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</si>
  <si>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</si>
  <si>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</si>
  <si>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</si>
  <si>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</si>
  <si>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</si>
  <si>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</si>
  <si>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</si>
  <si>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</si>
  <si>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</si>
  <si>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</si>
  <si>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</si>
  <si>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</si>
  <si>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</si>
  <si>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</si>
  <si>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</si>
  <si>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</si>
  <si>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</si>
  <si>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</si>
  <si>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</si>
  <si>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</si>
  <si>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</si>
  <si>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</si>
  <si>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</si>
  <si>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</si>
  <si>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</si>
  <si>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</si>
  <si>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</si>
  <si>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</si>
  <si>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</si>
  <si>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</si>
  <si>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</si>
  <si>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</si>
  <si>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</si>
  <si>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</si>
  <si>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</si>
  <si>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</si>
  <si>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</si>
  <si>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</si>
  <si>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</si>
  <si>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</si>
  <si>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</si>
  <si>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</si>
  <si>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</si>
  <si>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</si>
  <si>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</si>
  <si>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</si>
  <si>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</si>
  <si>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</si>
  <si>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</si>
  <si>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</si>
  <si>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</si>
  <si>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</si>
  <si>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</si>
  <si>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</si>
  <si>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</si>
  <si>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</si>
  <si>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</si>
  <si>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</si>
  <si>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</si>
  <si>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</si>
  <si>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</si>
  <si>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</si>
  <si>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</si>
  <si>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</si>
  <si>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</si>
  <si>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</si>
  <si>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</si>
  <si>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</si>
  <si>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</si>
  <si>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</si>
  <si>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</si>
  <si>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</si>
  <si>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</si>
  <si>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</si>
  <si>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</si>
  <si>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</si>
  <si>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</si>
  <si>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</si>
  <si>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</si>
  <si>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</si>
  <si>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</si>
  <si>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</si>
  <si>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</si>
  <si>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</si>
  <si>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</si>
  <si>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</si>
  <si>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</si>
  <si>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</si>
  <si>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</si>
  <si>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</si>
  <si>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</si>
  <si>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</si>
  <si>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</si>
  <si>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</si>
  <si>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</si>
  <si>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</si>
  <si>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</si>
  <si>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</si>
  <si>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</si>
  <si>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</si>
  <si>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</si>
  <si>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</si>
  <si>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</si>
  <si>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</si>
  <si>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</si>
  <si>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</si>
  <si>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</si>
  <si>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</si>
  <si>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</si>
  <si>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</si>
  <si>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</si>
  <si>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</si>
  <si>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</si>
  <si>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</si>
  <si>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</si>
  <si>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</si>
  <si>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</si>
  <si>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</si>
  <si>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</si>
  <si>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</si>
  <si>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</si>
  <si>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</si>
  <si>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</si>
  <si>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</si>
  <si>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</si>
  <si>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</si>
  <si>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</si>
  <si>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</si>
  <si>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</si>
  <si>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</si>
  <si>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</si>
  <si>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</si>
  <si>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</si>
  <si>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</si>
  <si>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</si>
  <si>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</si>
  <si>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</si>
  <si>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</si>
  <si>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</si>
  <si>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</si>
  <si>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</si>
  <si>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</si>
  <si>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</si>
  <si>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</si>
  <si>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</si>
  <si>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</si>
  <si>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</si>
  <si>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</si>
  <si>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</si>
  <si>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</si>
  <si>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</si>
  <si>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</si>
  <si>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</si>
  <si>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</si>
  <si>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</si>
  <si>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</si>
  <si>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</si>
  <si>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</si>
  <si>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</si>
  <si>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</si>
  <si>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</si>
  <si>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</si>
  <si>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</si>
  <si>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</si>
  <si>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</si>
  <si>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</si>
  <si>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</si>
  <si>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</si>
  <si>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</si>
  <si>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</si>
  <si>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</si>
  <si>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</si>
  <si>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</si>
  <si>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</si>
  <si>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</si>
  <si>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</si>
  <si>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</si>
  <si>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</si>
  <si>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</si>
  <si>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</si>
  <si>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</si>
  <si>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</si>
  <si>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</si>
  <si>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</si>
  <si>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</si>
  <si>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</si>
  <si>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</si>
  <si>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</si>
  <si>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</si>
  <si>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</si>
  <si>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</si>
  <si>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</si>
  <si>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</si>
  <si>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</si>
  <si>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</si>
  <si>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</si>
  <si>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</si>
  <si>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</si>
  <si>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</si>
  <si>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</si>
  <si>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</si>
  <si>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</si>
  <si>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</si>
  <si>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</si>
  <si>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08/04</t>
  </si>
  <si>
    <t>08/24</t>
  </si>
  <si>
    <t>Sanborn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</si>
</sst>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"/>
    <numFmt numFmtId="165" formatCode="0_)"/>
    <numFmt numFmtId="166" formatCode="0.0%"/>
    <numFmt numFmtId="167" formatCode="0.0"/>
    <numFmt numFmtId="168" formatCode="#,##0.000000000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168" fontId="4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911</v>
      </c>
      <c r="B2" s="21">
        <v>476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1251024.67+21769.39</f>
        <v>1272794.0599999998</v>
      </c>
      <c r="G9" s="18">
        <v>9127.34</v>
      </c>
      <c r="H9" s="18">
        <v>167191.35999999999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279661.14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173294.19</v>
      </c>
      <c r="G12" s="18">
        <v>41662.42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6180.5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159422.02-7264.3</f>
        <v>152157.72</v>
      </c>
      <c r="G14" s="18"/>
      <c r="H14" s="18">
        <v>176541.19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43199.95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1641445.9199999997</v>
      </c>
      <c r="G19" s="41">
        <f>SUM(G9:G18)</f>
        <v>56970.259999999995</v>
      </c>
      <c r="H19" s="41">
        <f>SUM(H9:H18)</f>
        <v>343732.55</v>
      </c>
      <c r="I19" s="41">
        <f>SUM(I9:I18)</f>
        <v>0</v>
      </c>
      <c r="J19" s="41">
        <f>SUM(J9:J18)</f>
        <v>279661.14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41662.42+14254.33</f>
        <v>55916.75</v>
      </c>
      <c r="G22" s="18"/>
      <c r="H22" s="18">
        <v>159039.85999999999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344993.02</v>
      </c>
      <c r="G24" s="18">
        <v>9442.2099999999991</v>
      </c>
      <c r="H24" s="18">
        <v>7001.21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25833.08+8689.22+2760.57</f>
        <v>37282.870000000003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76.77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700</v>
      </c>
      <c r="G30" s="18">
        <v>5133.6899999999996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438969.41000000003</v>
      </c>
      <c r="G32" s="41">
        <f>SUM(G22:G31)</f>
        <v>14575.899999999998</v>
      </c>
      <c r="H32" s="41">
        <f>SUM(H22:H31)</f>
        <v>166041.06999999998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42394.36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0</v>
      </c>
      <c r="H43" s="18">
        <v>0</v>
      </c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 t="s">
        <v>287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1071.07</v>
      </c>
      <c r="G47" s="18"/>
      <c r="H47" s="18">
        <f>H19-H32</f>
        <v>177691.48</v>
      </c>
      <c r="I47" s="18"/>
      <c r="J47" s="13">
        <f>SUM(I458)</f>
        <v>279661.14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602350.28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F19-F32-F47-F48</f>
        <v>599055.15999999968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1202476.5099999998</v>
      </c>
      <c r="G50" s="41">
        <f>SUM(G35:G49)</f>
        <v>42394.36</v>
      </c>
      <c r="H50" s="41">
        <f>SUM(H35:H49)</f>
        <v>177691.48</v>
      </c>
      <c r="I50" s="41">
        <f>SUM(I35:I49)</f>
        <v>0</v>
      </c>
      <c r="J50" s="41">
        <f>SUM(J35:J49)</f>
        <v>279661.14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1641445.92</v>
      </c>
      <c r="G51" s="41">
        <f>G50+G32</f>
        <v>56970.259999999995</v>
      </c>
      <c r="H51" s="41">
        <f>H50+H32</f>
        <v>343732.55</v>
      </c>
      <c r="I51" s="41">
        <f>I50+I32</f>
        <v>0</v>
      </c>
      <c r="J51" s="41">
        <f>J50+J32</f>
        <v>279661.14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18003331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20881.29</v>
      </c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18024212.289999999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16500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2164.6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3352308.44-7264.3</f>
        <v>3345044.14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3363708.74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3019.69</v>
      </c>
      <c r="G95" s="18">
        <v>13.53</v>
      </c>
      <c r="H95" s="18">
        <v>78.349999999999994</v>
      </c>
      <c r="I95" s="18"/>
      <c r="J95" s="18">
        <f>643.76+172.69</f>
        <v>816.45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425664.18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>
        <v>114976.8</v>
      </c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2067.35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2000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10706.01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15725.7</v>
      </c>
      <c r="G110" s="41">
        <f>SUM(G95:G109)</f>
        <v>425677.71</v>
      </c>
      <c r="H110" s="41">
        <f>SUM(H95:H109)</f>
        <v>117122.50000000001</v>
      </c>
      <c r="I110" s="41">
        <f>SUM(I95:I109)</f>
        <v>0</v>
      </c>
      <c r="J110" s="41">
        <f>SUM(J95:J109)</f>
        <v>816.45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21403646.73</v>
      </c>
      <c r="G111" s="41">
        <f>G59+G110</f>
        <v>425677.71</v>
      </c>
      <c r="H111" s="41">
        <f>H59+H78+H93+H110</f>
        <v>117122.50000000001</v>
      </c>
      <c r="I111" s="41">
        <f>I59+I110</f>
        <v>0</v>
      </c>
      <c r="J111" s="41">
        <f>J59+J110</f>
        <v>816.45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3708401-3210.31</f>
        <v>3705190.69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2496333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3210.31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34911.550000000003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6239645.5499999989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839150.45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356910.62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18224.13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7025.39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1214285.1999999997</v>
      </c>
      <c r="G135" s="41">
        <f>SUM(G122:G134)</f>
        <v>7025.39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7453930.7499999981</v>
      </c>
      <c r="G139" s="41">
        <f>G120+SUM(G135:G136)</f>
        <v>7025.39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784.03</v>
      </c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>
        <v>10000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784.03</v>
      </c>
      <c r="G146" s="41">
        <f>SUM(G144:G145)</f>
        <v>0</v>
      </c>
      <c r="H146" s="41">
        <f>SUM(H144:H145)</f>
        <v>10000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168761.12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211171.05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3812.82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131117.19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420430.45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147486.76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58651.3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147486.76</v>
      </c>
      <c r="G161" s="41">
        <f>SUM(G149:G160)</f>
        <v>131117.19</v>
      </c>
      <c r="H161" s="41">
        <f>SUM(H149:H160)</f>
        <v>862826.74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148270.79</v>
      </c>
      <c r="G168" s="41">
        <f>G146+G161+SUM(G162:G167)</f>
        <v>131117.19</v>
      </c>
      <c r="H168" s="41">
        <f>H146+H161+SUM(H162:H167)</f>
        <v>872826.74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21209.78</v>
      </c>
      <c r="H178" s="18">
        <v>3357.35</v>
      </c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21209.78</v>
      </c>
      <c r="H182" s="41">
        <f>SUM(H178:H181)</f>
        <v>3357.35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21209.78</v>
      </c>
      <c r="H191" s="41">
        <f>+H182+SUM(H187:H190)</f>
        <v>3357.35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29005848.269999996</v>
      </c>
      <c r="G192" s="47">
        <f>G111+G139+G168+G191</f>
        <v>585030.07000000007</v>
      </c>
      <c r="H192" s="47">
        <f>H111+H139+H168+H191</f>
        <v>993306.59</v>
      </c>
      <c r="I192" s="47">
        <f>I111+I139+I168+I191</f>
        <v>0</v>
      </c>
      <c r="J192" s="47">
        <f>J111+J139+J191</f>
        <v>816.45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2716171.45</v>
      </c>
      <c r="G196" s="18">
        <v>1232298.3799999999</v>
      </c>
      <c r="H196" s="18">
        <f>92022.92+105+584.5</f>
        <v>92712.42</v>
      </c>
      <c r="I196" s="18">
        <f>166391.9-1253.76-1099.08-982</f>
        <v>163057.06</v>
      </c>
      <c r="J196" s="18">
        <f>257319.32-1929.5</f>
        <v>255389.82</v>
      </c>
      <c r="K196" s="18">
        <v>14763.38</v>
      </c>
      <c r="L196" s="19">
        <f>SUM(F196:K196)</f>
        <v>4474392.51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1034485.6</v>
      </c>
      <c r="G197" s="18">
        <v>505566.94</v>
      </c>
      <c r="H197" s="18">
        <v>280916.82</v>
      </c>
      <c r="I197" s="18">
        <f>6864.1-262.6</f>
        <v>6601.5</v>
      </c>
      <c r="J197" s="18">
        <v>27342.880000000001</v>
      </c>
      <c r="K197" s="18">
        <v>95</v>
      </c>
      <c r="L197" s="19">
        <f>SUM(F197:K197)</f>
        <v>1855008.74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42019.4</v>
      </c>
      <c r="G199" s="18">
        <v>2294.13</v>
      </c>
      <c r="H199" s="18"/>
      <c r="I199" s="18"/>
      <c r="J199" s="18"/>
      <c r="K199" s="18"/>
      <c r="L199" s="19">
        <f>SUM(F199:K199)</f>
        <v>44313.53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637237.9</v>
      </c>
      <c r="G201" s="18">
        <v>281626.12</v>
      </c>
      <c r="H201" s="18">
        <v>250</v>
      </c>
      <c r="I201" s="18">
        <f>3857.31-541.78</f>
        <v>3315.5299999999997</v>
      </c>
      <c r="J201" s="18">
        <v>6816.17</v>
      </c>
      <c r="K201" s="18"/>
      <c r="L201" s="19">
        <f t="shared" ref="L201:L207" si="0">SUM(F201:K201)</f>
        <v>929245.72000000009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103749</v>
      </c>
      <c r="G202" s="18">
        <f>56830.23+1085.03+3204.84</f>
        <v>61120.100000000006</v>
      </c>
      <c r="H202" s="18">
        <f>9046.05+400-400</f>
        <v>9046.0499999999993</v>
      </c>
      <c r="I202" s="18">
        <f>30320.72-581.78</f>
        <v>29738.940000000002</v>
      </c>
      <c r="J202" s="18">
        <v>741.6</v>
      </c>
      <c r="K202" s="18">
        <v>4560</v>
      </c>
      <c r="L202" s="19">
        <f t="shared" si="0"/>
        <v>208955.69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139826.54</v>
      </c>
      <c r="G203" s="18">
        <v>51960.9</v>
      </c>
      <c r="H203" s="18">
        <f>41757.24-95</f>
        <v>41662.239999999998</v>
      </c>
      <c r="I203" s="18">
        <v>3246.94</v>
      </c>
      <c r="J203" s="18">
        <v>22.8</v>
      </c>
      <c r="K203" s="18">
        <v>12253.39</v>
      </c>
      <c r="L203" s="19">
        <f t="shared" si="0"/>
        <v>248972.81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455425.11</v>
      </c>
      <c r="G204" s="18">
        <v>214171.59</v>
      </c>
      <c r="H204" s="18">
        <v>11052.34</v>
      </c>
      <c r="I204" s="18">
        <v>4042.22</v>
      </c>
      <c r="J204" s="18"/>
      <c r="K204" s="18">
        <v>6570</v>
      </c>
      <c r="L204" s="19">
        <f t="shared" si="0"/>
        <v>691261.25999999989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99884.38</v>
      </c>
      <c r="G205" s="18">
        <v>45851</v>
      </c>
      <c r="H205" s="18">
        <v>8995.0400000000009</v>
      </c>
      <c r="I205" s="18">
        <v>1523.73</v>
      </c>
      <c r="J205" s="18">
        <v>114</v>
      </c>
      <c r="K205" s="18">
        <v>62.7</v>
      </c>
      <c r="L205" s="19">
        <f t="shared" si="0"/>
        <v>156430.85000000003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397859.93</v>
      </c>
      <c r="G206" s="18">
        <v>214237.98</v>
      </c>
      <c r="H206" s="18">
        <f>173176.02+88450+420+70+244.37+6478+880+9440+11052+9852+34075+10350+4800+1200+550+23086+250+9990+18290-25519.2-16405-30167.51</f>
        <v>330561.68</v>
      </c>
      <c r="I206" s="18">
        <f>353385.78+182.05+182.05+1823.64-134.04-389.64-11397.66</f>
        <v>343652.18000000005</v>
      </c>
      <c r="J206" s="18">
        <f>19768.25+4765+1936+1936+12632</f>
        <v>41037.25</v>
      </c>
      <c r="K206" s="18">
        <v>1854.31</v>
      </c>
      <c r="L206" s="19">
        <f t="shared" si="0"/>
        <v>1329203.33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405337.96-8632.08</f>
        <v>396705.88</v>
      </c>
      <c r="I207" s="18">
        <v>34425.870000000003</v>
      </c>
      <c r="J207" s="18"/>
      <c r="K207" s="18"/>
      <c r="L207" s="19">
        <f t="shared" si="0"/>
        <v>431131.75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84650.4</v>
      </c>
      <c r="G208" s="18">
        <v>138380.32999999999</v>
      </c>
      <c r="H208" s="18"/>
      <c r="I208" s="18"/>
      <c r="J208" s="18"/>
      <c r="K208" s="18"/>
      <c r="L208" s="19">
        <f>SUM(F208:K208)</f>
        <v>223030.72999999998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5711309.7100000009</v>
      </c>
      <c r="G210" s="41">
        <f t="shared" si="1"/>
        <v>2747507.4699999997</v>
      </c>
      <c r="H210" s="41">
        <f t="shared" si="1"/>
        <v>1171902.47</v>
      </c>
      <c r="I210" s="41">
        <f t="shared" si="1"/>
        <v>589603.97000000009</v>
      </c>
      <c r="J210" s="41">
        <f t="shared" si="1"/>
        <v>331464.51999999996</v>
      </c>
      <c r="K210" s="41">
        <f t="shared" si="1"/>
        <v>40158.779999999992</v>
      </c>
      <c r="L210" s="41">
        <f t="shared" si="1"/>
        <v>10591946.92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1639126.56</v>
      </c>
      <c r="G214" s="18">
        <v>656428.44999999995</v>
      </c>
      <c r="H214" s="18">
        <f>42106.45+52.5</f>
        <v>42158.95</v>
      </c>
      <c r="I214" s="18">
        <f>172270.49+121.16-240.17-1160.08-145.12-441</f>
        <v>170405.28</v>
      </c>
      <c r="J214" s="18">
        <v>154595.82</v>
      </c>
      <c r="K214" s="18">
        <v>8652.2199999999993</v>
      </c>
      <c r="L214" s="19">
        <f>SUM(F214:K214)</f>
        <v>2671367.2799999998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596272.51</v>
      </c>
      <c r="G215" s="18">
        <v>348822.3</v>
      </c>
      <c r="H215" s="18">
        <v>76827.69</v>
      </c>
      <c r="I215" s="18">
        <v>2904.33</v>
      </c>
      <c r="J215" s="18">
        <v>16532.36</v>
      </c>
      <c r="K215" s="18">
        <v>55</v>
      </c>
      <c r="L215" s="19">
        <f>SUM(F215:K215)</f>
        <v>1041414.19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62129.91</v>
      </c>
      <c r="G217" s="18">
        <v>18004.66</v>
      </c>
      <c r="H217" s="18">
        <v>9251</v>
      </c>
      <c r="I217" s="18">
        <v>7717.66</v>
      </c>
      <c r="J217" s="18">
        <f>17327.73+5969-360.5</f>
        <v>22936.23</v>
      </c>
      <c r="K217" s="18">
        <v>825</v>
      </c>
      <c r="L217" s="19">
        <f>SUM(F217:K217)</f>
        <v>120864.46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284288.43</v>
      </c>
      <c r="G219" s="18">
        <v>126699.29</v>
      </c>
      <c r="H219" s="18">
        <v>955.72</v>
      </c>
      <c r="I219" s="18">
        <v>892.04</v>
      </c>
      <c r="J219" s="18"/>
      <c r="K219" s="18"/>
      <c r="L219" s="19">
        <f t="shared" ref="L219:L225" si="2">SUM(F219:K219)</f>
        <v>412835.47999999992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64725</v>
      </c>
      <c r="G220" s="18">
        <v>33931.21</v>
      </c>
      <c r="H220" s="18">
        <v>4799.22</v>
      </c>
      <c r="I220" s="18">
        <v>13784.43</v>
      </c>
      <c r="J220" s="18"/>
      <c r="K220" s="18">
        <v>2640</v>
      </c>
      <c r="L220" s="19">
        <f t="shared" si="2"/>
        <v>119879.85999999999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80952.22</v>
      </c>
      <c r="G221" s="18">
        <v>30082.560000000001</v>
      </c>
      <c r="H221" s="18">
        <f>24175.22-52.5</f>
        <v>24122.720000000001</v>
      </c>
      <c r="I221" s="18">
        <v>1879.81</v>
      </c>
      <c r="J221" s="18">
        <v>13.19</v>
      </c>
      <c r="K221" s="18">
        <v>7094.06</v>
      </c>
      <c r="L221" s="19">
        <f t="shared" si="2"/>
        <v>144144.56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242155.9</v>
      </c>
      <c r="G222" s="18">
        <v>115649.99</v>
      </c>
      <c r="H222" s="18">
        <v>8537.81</v>
      </c>
      <c r="I222" s="18"/>
      <c r="J222" s="18"/>
      <c r="K222" s="18">
        <v>2150</v>
      </c>
      <c r="L222" s="19">
        <f t="shared" si="2"/>
        <v>368493.7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57827.8</v>
      </c>
      <c r="G223" s="18">
        <v>26545.32</v>
      </c>
      <c r="H223" s="18">
        <v>5207.66</v>
      </c>
      <c r="I223" s="18">
        <v>882.14</v>
      </c>
      <c r="J223" s="18">
        <v>66</v>
      </c>
      <c r="K223" s="18">
        <v>36.299999999999997</v>
      </c>
      <c r="L223" s="19">
        <f t="shared" si="2"/>
        <v>90565.22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184317.02</v>
      </c>
      <c r="G224" s="18">
        <v>97998.54</v>
      </c>
      <c r="H224" s="18">
        <f>111717.57+82445+2440+11320+9000+595+1400+6525+28900-20050.8-45512.5</f>
        <v>188779.27000000002</v>
      </c>
      <c r="I224" s="18">
        <f>179032.22+182.05-389.64-6298.71</f>
        <v>172525.91999999998</v>
      </c>
      <c r="J224" s="18">
        <f>8893.39+3640</f>
        <v>12533.39</v>
      </c>
      <c r="K224" s="18">
        <v>1007.33</v>
      </c>
      <c r="L224" s="19">
        <f t="shared" si="2"/>
        <v>657161.47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185757.06-11701.24-199.56</f>
        <v>173856.26</v>
      </c>
      <c r="I225" s="18">
        <v>19930.759999999998</v>
      </c>
      <c r="J225" s="18"/>
      <c r="K225" s="18"/>
      <c r="L225" s="19">
        <f t="shared" si="2"/>
        <v>193787.02000000002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44441.46</v>
      </c>
      <c r="G226" s="18">
        <v>72649.67</v>
      </c>
      <c r="H226" s="18"/>
      <c r="I226" s="18"/>
      <c r="J226" s="18"/>
      <c r="K226" s="18"/>
      <c r="L226" s="19">
        <f>SUM(F226:K226)</f>
        <v>117091.13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3256236.8100000005</v>
      </c>
      <c r="G228" s="41">
        <f>SUM(G214:G227)</f>
        <v>1526811.99</v>
      </c>
      <c r="H228" s="41">
        <f>SUM(H214:H227)</f>
        <v>534496.30000000005</v>
      </c>
      <c r="I228" s="41">
        <f>SUM(I214:I227)</f>
        <v>390922.37</v>
      </c>
      <c r="J228" s="41">
        <f>SUM(J214:J227)</f>
        <v>206676.99</v>
      </c>
      <c r="K228" s="41">
        <f t="shared" si="3"/>
        <v>22459.91</v>
      </c>
      <c r="L228" s="41">
        <f t="shared" si="3"/>
        <v>5937604.3699999982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2579551.14</v>
      </c>
      <c r="G232" s="18">
        <v>1038515.3</v>
      </c>
      <c r="H232" s="18">
        <f>103133.53+52.5+2000-1186-643</f>
        <v>103357.03</v>
      </c>
      <c r="I232" s="18">
        <f>227386.47+9198.95+111.8+981-29.77-480-4238.94-283.33-1162.62</f>
        <v>231483.56000000003</v>
      </c>
      <c r="J232" s="18">
        <f>258316.96-770</f>
        <v>257546.96</v>
      </c>
      <c r="K232" s="18">
        <v>16395.400000000001</v>
      </c>
      <c r="L232" s="19">
        <f>SUM(F232:K232)</f>
        <v>4226849.3900000006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626393.43000000005</v>
      </c>
      <c r="G233" s="18">
        <v>289723.78000000003</v>
      </c>
      <c r="H233" s="18">
        <v>518923.39</v>
      </c>
      <c r="I233" s="18">
        <v>17228.669999999998</v>
      </c>
      <c r="J233" s="18">
        <v>27171.98</v>
      </c>
      <c r="K233" s="18">
        <v>100</v>
      </c>
      <c r="L233" s="19">
        <f>SUM(F233:K233)</f>
        <v>1479541.25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173574.5</v>
      </c>
      <c r="I234" s="18"/>
      <c r="J234" s="18"/>
      <c r="K234" s="18"/>
      <c r="L234" s="19">
        <f>SUM(F234:K234)</f>
        <v>173574.5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163760.69</v>
      </c>
      <c r="G235" s="18">
        <v>40557.4</v>
      </c>
      <c r="H235" s="18">
        <f>64883.72-22830</f>
        <v>42053.72</v>
      </c>
      <c r="I235" s="18">
        <v>14428.08</v>
      </c>
      <c r="J235" s="18">
        <f>58722.33-360.5</f>
        <v>58361.83</v>
      </c>
      <c r="K235" s="18">
        <v>9317.9500000000007</v>
      </c>
      <c r="L235" s="19">
        <f>SUM(F235:K235)</f>
        <v>328479.67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377231</v>
      </c>
      <c r="G237" s="18">
        <v>156992.46</v>
      </c>
      <c r="H237" s="18">
        <v>4150.09</v>
      </c>
      <c r="I237" s="18">
        <v>2957.52</v>
      </c>
      <c r="J237" s="18"/>
      <c r="K237" s="18">
        <v>593.99</v>
      </c>
      <c r="L237" s="19">
        <f t="shared" ref="L237:L243" si="4">SUM(F237:K237)</f>
        <v>541925.05999999994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83967.29</v>
      </c>
      <c r="G238" s="18">
        <f>43071.31+2600.13</f>
        <v>45671.439999999995</v>
      </c>
      <c r="H238" s="18">
        <v>7656.35</v>
      </c>
      <c r="I238" s="18">
        <v>32174.240000000002</v>
      </c>
      <c r="J238" s="18">
        <v>1786.97</v>
      </c>
      <c r="K238" s="18">
        <v>3480.13</v>
      </c>
      <c r="L238" s="19">
        <f t="shared" si="4"/>
        <v>174736.41999999998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147185.82999999999</v>
      </c>
      <c r="G239" s="18">
        <v>54695.69</v>
      </c>
      <c r="H239" s="18">
        <v>43954.99</v>
      </c>
      <c r="I239" s="18">
        <f>3417.83-102.5</f>
        <v>3315.33</v>
      </c>
      <c r="J239" s="18">
        <v>24</v>
      </c>
      <c r="K239" s="18">
        <v>12898.31</v>
      </c>
      <c r="L239" s="19">
        <f t="shared" si="4"/>
        <v>262074.14999999997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341678.14</v>
      </c>
      <c r="G240" s="18">
        <v>137477.34</v>
      </c>
      <c r="H240" s="18">
        <v>18581.88</v>
      </c>
      <c r="I240" s="18">
        <v>14703.21</v>
      </c>
      <c r="J240" s="18"/>
      <c r="K240" s="18">
        <v>15037.04</v>
      </c>
      <c r="L240" s="19">
        <f t="shared" si="4"/>
        <v>527477.61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105141.46</v>
      </c>
      <c r="G241" s="18">
        <v>48264.22</v>
      </c>
      <c r="H241" s="18">
        <v>9468.4599999999991</v>
      </c>
      <c r="I241" s="18">
        <v>1603.92</v>
      </c>
      <c r="J241" s="18">
        <v>120</v>
      </c>
      <c r="K241" s="18">
        <v>66</v>
      </c>
      <c r="L241" s="19">
        <f t="shared" si="4"/>
        <v>164664.06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482944.94</v>
      </c>
      <c r="G242" s="18">
        <v>268746.37</v>
      </c>
      <c r="H242" s="18">
        <f>155103.78+1200+70+1400+1900+679+5937.5+95000+3950+4200+500-1200-1500-91140.2</f>
        <v>176100.08000000002</v>
      </c>
      <c r="I242" s="18">
        <f>448878.62+22228.85+364+182.05-134.04-12297.47</f>
        <v>459222.01</v>
      </c>
      <c r="J242" s="18">
        <f>21093.22+24137+400</f>
        <v>45630.22</v>
      </c>
      <c r="K242" s="18">
        <v>2387.16</v>
      </c>
      <c r="L242" s="19">
        <f t="shared" si="4"/>
        <v>1435030.78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421780.4+20532.88</f>
        <v>442313.28</v>
      </c>
      <c r="I243" s="18">
        <v>36237.760000000002</v>
      </c>
      <c r="J243" s="18"/>
      <c r="K243" s="18"/>
      <c r="L243" s="19">
        <f t="shared" si="4"/>
        <v>478551.04000000004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82534.14</v>
      </c>
      <c r="G244" s="18">
        <v>134920.81</v>
      </c>
      <c r="H244" s="18"/>
      <c r="I244" s="18"/>
      <c r="J244" s="18"/>
      <c r="K244" s="18"/>
      <c r="L244" s="19">
        <f>SUM(F244:K244)</f>
        <v>217454.95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4990388.0600000005</v>
      </c>
      <c r="G246" s="41">
        <f t="shared" si="5"/>
        <v>2215564.81</v>
      </c>
      <c r="H246" s="41">
        <f t="shared" si="5"/>
        <v>1540133.77</v>
      </c>
      <c r="I246" s="41">
        <f t="shared" si="5"/>
        <v>813354.3</v>
      </c>
      <c r="J246" s="41">
        <f t="shared" si="5"/>
        <v>390641.95999999996</v>
      </c>
      <c r="K246" s="41">
        <f t="shared" si="5"/>
        <v>60275.98000000001</v>
      </c>
      <c r="L246" s="41">
        <f t="shared" si="5"/>
        <v>10010358.879999999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16224.65</v>
      </c>
      <c r="G252" s="18">
        <v>1442.61</v>
      </c>
      <c r="H252" s="18">
        <v>1644.92</v>
      </c>
      <c r="I252" s="18"/>
      <c r="J252" s="18"/>
      <c r="K252" s="18">
        <v>2500</v>
      </c>
      <c r="L252" s="19">
        <f t="shared" si="6"/>
        <v>21812.18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f>325206.11+50000-58958-106887-125175-7170</f>
        <v>77016.109999999986</v>
      </c>
      <c r="I254" s="18"/>
      <c r="J254" s="18"/>
      <c r="K254" s="18"/>
      <c r="L254" s="19">
        <f t="shared" si="6"/>
        <v>77016.109999999986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16224.65</v>
      </c>
      <c r="G255" s="41">
        <f t="shared" si="7"/>
        <v>1442.61</v>
      </c>
      <c r="H255" s="41">
        <f t="shared" si="7"/>
        <v>78661.029999999984</v>
      </c>
      <c r="I255" s="41">
        <f t="shared" si="7"/>
        <v>0</v>
      </c>
      <c r="J255" s="41">
        <f t="shared" si="7"/>
        <v>0</v>
      </c>
      <c r="K255" s="41">
        <f t="shared" si="7"/>
        <v>2500</v>
      </c>
      <c r="L255" s="41">
        <f>SUM(F255:K255)</f>
        <v>98828.289999999979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13974159.230000002</v>
      </c>
      <c r="G256" s="41">
        <f t="shared" si="8"/>
        <v>6491326.8799999999</v>
      </c>
      <c r="H256" s="41">
        <f t="shared" si="8"/>
        <v>3325193.57</v>
      </c>
      <c r="I256" s="41">
        <f t="shared" si="8"/>
        <v>1793880.6400000001</v>
      </c>
      <c r="J256" s="41">
        <f t="shared" si="8"/>
        <v>928783.47</v>
      </c>
      <c r="K256" s="41">
        <f t="shared" si="8"/>
        <v>125394.67</v>
      </c>
      <c r="L256" s="41">
        <f t="shared" si="8"/>
        <v>26638738.459999997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1666458.34</v>
      </c>
      <c r="L259" s="19">
        <f>SUM(F259:K259)</f>
        <v>1666458.34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650061.16</v>
      </c>
      <c r="L260" s="19">
        <f>SUM(F260:K260)</f>
        <v>650061.16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21209.78</v>
      </c>
      <c r="L262" s="19">
        <f>SUM(F262:K262)</f>
        <v>21209.78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3357.35</v>
      </c>
      <c r="L263" s="19">
        <f t="shared" ref="L263:L269" si="9">SUM(F263:K263)</f>
        <v>3357.35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2341086.63</v>
      </c>
      <c r="L269" s="41">
        <f t="shared" si="9"/>
        <v>2341086.63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13974159.230000002</v>
      </c>
      <c r="G270" s="42">
        <f t="shared" si="11"/>
        <v>6491326.8799999999</v>
      </c>
      <c r="H270" s="42">
        <f t="shared" si="11"/>
        <v>3325193.57</v>
      </c>
      <c r="I270" s="42">
        <f t="shared" si="11"/>
        <v>1793880.6400000001</v>
      </c>
      <c r="J270" s="42">
        <f t="shared" si="11"/>
        <v>928783.47</v>
      </c>
      <c r="K270" s="42">
        <f t="shared" si="11"/>
        <v>2466481.2999999998</v>
      </c>
      <c r="L270" s="42">
        <f t="shared" si="11"/>
        <v>28979825.089999996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170148.76</v>
      </c>
      <c r="G275" s="18">
        <v>29081.55</v>
      </c>
      <c r="H275" s="18">
        <f>59779.17-8049.92+1323.45</f>
        <v>53052.7</v>
      </c>
      <c r="I275" s="18">
        <v>25001.03</v>
      </c>
      <c r="J275" s="18">
        <v>961.89</v>
      </c>
      <c r="K275" s="18"/>
      <c r="L275" s="19">
        <f>SUM(F275:K275)</f>
        <v>278245.93000000005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110199.18</v>
      </c>
      <c r="G276" s="18">
        <v>20101.03</v>
      </c>
      <c r="H276" s="18">
        <v>9931.86</v>
      </c>
      <c r="I276" s="18">
        <v>2880.5</v>
      </c>
      <c r="J276" s="18">
        <v>39104</v>
      </c>
      <c r="K276" s="18"/>
      <c r="L276" s="19">
        <f>SUM(F276:K276)</f>
        <v>182216.57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3692.41</v>
      </c>
      <c r="G280" s="18">
        <v>677.27</v>
      </c>
      <c r="H280" s="18">
        <v>22070.880000000001</v>
      </c>
      <c r="I280" s="18"/>
      <c r="J280" s="18"/>
      <c r="K280" s="18"/>
      <c r="L280" s="19">
        <f t="shared" ref="L280:L286" si="12">SUM(F280:K280)</f>
        <v>26440.560000000001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1313.69</v>
      </c>
      <c r="I281" s="18"/>
      <c r="J281" s="18"/>
      <c r="K281" s="18"/>
      <c r="L281" s="19">
        <f t="shared" si="12"/>
        <v>1313.69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284040.34999999998</v>
      </c>
      <c r="G289" s="42">
        <f t="shared" si="13"/>
        <v>49859.85</v>
      </c>
      <c r="H289" s="42">
        <f t="shared" si="13"/>
        <v>86369.13</v>
      </c>
      <c r="I289" s="42">
        <f t="shared" si="13"/>
        <v>27881.53</v>
      </c>
      <c r="J289" s="42">
        <f t="shared" si="13"/>
        <v>40065.89</v>
      </c>
      <c r="K289" s="42">
        <f t="shared" si="13"/>
        <v>0</v>
      </c>
      <c r="L289" s="41">
        <f t="shared" si="13"/>
        <v>488216.75000000006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25880.74</v>
      </c>
      <c r="G294" s="18">
        <v>4903.1099999999997</v>
      </c>
      <c r="H294" s="18">
        <f>27380.93-4448.64+731.38</f>
        <v>23663.670000000002</v>
      </c>
      <c r="I294" s="18">
        <v>6620.93</v>
      </c>
      <c r="J294" s="18">
        <v>154.52000000000001</v>
      </c>
      <c r="K294" s="18"/>
      <c r="L294" s="19">
        <f>SUM(F294:K294)</f>
        <v>61222.97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58495.6</v>
      </c>
      <c r="G295" s="18">
        <v>9853.4500000000007</v>
      </c>
      <c r="H295" s="18">
        <v>5503.56</v>
      </c>
      <c r="I295" s="18"/>
      <c r="J295" s="18"/>
      <c r="K295" s="18"/>
      <c r="L295" s="19">
        <f>SUM(F295:K295)</f>
        <v>73852.61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>
        <v>12197.06</v>
      </c>
      <c r="I299" s="18"/>
      <c r="J299" s="18"/>
      <c r="K299" s="18"/>
      <c r="L299" s="19">
        <f t="shared" ref="L299:L305" si="14">SUM(F299:K299)</f>
        <v>12197.06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v>732.13</v>
      </c>
      <c r="I300" s="18"/>
      <c r="J300" s="18"/>
      <c r="K300" s="18"/>
      <c r="L300" s="19">
        <f t="shared" si="14"/>
        <v>732.13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84376.34</v>
      </c>
      <c r="G308" s="42">
        <f t="shared" si="15"/>
        <v>14756.560000000001</v>
      </c>
      <c r="H308" s="42">
        <f t="shared" si="15"/>
        <v>42096.42</v>
      </c>
      <c r="I308" s="42">
        <f t="shared" si="15"/>
        <v>6620.93</v>
      </c>
      <c r="J308" s="42">
        <f t="shared" si="15"/>
        <v>154.52000000000001</v>
      </c>
      <c r="K308" s="42">
        <f t="shared" si="15"/>
        <v>0</v>
      </c>
      <c r="L308" s="41">
        <f t="shared" si="15"/>
        <v>148004.77000000002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53832.41</v>
      </c>
      <c r="G313" s="18">
        <v>10075.219999999999</v>
      </c>
      <c r="H313" s="18">
        <f>52782.34-8685.44+1427.93</f>
        <v>45524.829999999994</v>
      </c>
      <c r="I313" s="18">
        <v>6076.52</v>
      </c>
      <c r="J313" s="18">
        <v>280.94</v>
      </c>
      <c r="K313" s="18"/>
      <c r="L313" s="19">
        <f>SUM(F313:K313)</f>
        <v>115789.92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114205.69</v>
      </c>
      <c r="G314" s="18">
        <v>19237.68</v>
      </c>
      <c r="H314" s="18">
        <v>10701.06</v>
      </c>
      <c r="I314" s="18">
        <v>7100</v>
      </c>
      <c r="J314" s="18"/>
      <c r="K314" s="18"/>
      <c r="L314" s="19">
        <f>SUM(F314:K314)</f>
        <v>151244.43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v>23813.31</v>
      </c>
      <c r="I318" s="18"/>
      <c r="J318" s="18"/>
      <c r="K318" s="18"/>
      <c r="L318" s="19">
        <f t="shared" ref="L318:L324" si="16">SUM(F318:K318)</f>
        <v>23813.31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v>1411.27</v>
      </c>
      <c r="I319" s="18"/>
      <c r="J319" s="18"/>
      <c r="K319" s="18"/>
      <c r="L319" s="19">
        <f t="shared" si="16"/>
        <v>1411.27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168038.1</v>
      </c>
      <c r="G327" s="42">
        <f t="shared" si="17"/>
        <v>29312.9</v>
      </c>
      <c r="H327" s="42">
        <f t="shared" si="17"/>
        <v>81450.47</v>
      </c>
      <c r="I327" s="42">
        <f t="shared" si="17"/>
        <v>13176.52</v>
      </c>
      <c r="J327" s="42">
        <f t="shared" si="17"/>
        <v>280.94</v>
      </c>
      <c r="K327" s="42">
        <f t="shared" si="17"/>
        <v>0</v>
      </c>
      <c r="L327" s="41">
        <f t="shared" si="17"/>
        <v>292258.93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>
        <v>0</v>
      </c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>
        <v>40000</v>
      </c>
      <c r="I335" s="18"/>
      <c r="J335" s="18"/>
      <c r="K335" s="18"/>
      <c r="L335" s="19">
        <f t="shared" si="18"/>
        <v>40000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40000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40000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536454.78999999992</v>
      </c>
      <c r="G337" s="41">
        <f t="shared" si="20"/>
        <v>93929.31</v>
      </c>
      <c r="H337" s="41">
        <f t="shared" si="20"/>
        <v>249916.02000000002</v>
      </c>
      <c r="I337" s="41">
        <f t="shared" si="20"/>
        <v>47678.979999999996</v>
      </c>
      <c r="J337" s="41">
        <f t="shared" si="20"/>
        <v>40501.35</v>
      </c>
      <c r="K337" s="41">
        <f t="shared" si="20"/>
        <v>0</v>
      </c>
      <c r="L337" s="41">
        <f t="shared" si="20"/>
        <v>968480.45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536454.78999999992</v>
      </c>
      <c r="G351" s="41">
        <f>G337</f>
        <v>93929.31</v>
      </c>
      <c r="H351" s="41">
        <f>H337</f>
        <v>249916.02000000002</v>
      </c>
      <c r="I351" s="41">
        <f>I337</f>
        <v>47678.979999999996</v>
      </c>
      <c r="J351" s="41">
        <f>J337</f>
        <v>40501.35</v>
      </c>
      <c r="K351" s="47">
        <f>K337+K350</f>
        <v>0</v>
      </c>
      <c r="L351" s="41">
        <f>L337+L350</f>
        <v>968480.45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220628.14</v>
      </c>
      <c r="I357" s="18">
        <v>1613.13</v>
      </c>
      <c r="J357" s="18"/>
      <c r="K357" s="18">
        <v>70.16</v>
      </c>
      <c r="L357" s="13">
        <f>SUM(F357:K357)</f>
        <v>222311.43000000002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v>127732.09</v>
      </c>
      <c r="I358" s="18">
        <v>933.91</v>
      </c>
      <c r="J358" s="18"/>
      <c r="K358" s="18">
        <v>40.619999999999997</v>
      </c>
      <c r="L358" s="19">
        <f>SUM(F358:K358)</f>
        <v>128706.62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232240.15</v>
      </c>
      <c r="I359" s="18">
        <v>1698.02</v>
      </c>
      <c r="J359" s="18"/>
      <c r="K359" s="18">
        <v>73.849999999999994</v>
      </c>
      <c r="L359" s="19">
        <f>SUM(F359:K359)</f>
        <v>234012.02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580600.38</v>
      </c>
      <c r="I361" s="47">
        <f t="shared" si="22"/>
        <v>4245.0599999999995</v>
      </c>
      <c r="J361" s="47">
        <f t="shared" si="22"/>
        <v>0</v>
      </c>
      <c r="K361" s="47">
        <f t="shared" si="22"/>
        <v>184.63</v>
      </c>
      <c r="L361" s="47">
        <f t="shared" si="22"/>
        <v>585030.07000000007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4245.06*0.38</f>
        <v>1613.1228000000001</v>
      </c>
      <c r="G367" s="63">
        <f>I361*0.21</f>
        <v>891.46259999999984</v>
      </c>
      <c r="H367" s="63">
        <f>I361*0.41</f>
        <v>1740.4745999999998</v>
      </c>
      <c r="I367" s="56">
        <f>SUM(F367:H367)</f>
        <v>4245.0599999999995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1613.1228000000001</v>
      </c>
      <c r="G368" s="47">
        <f>SUM(G366:G367)</f>
        <v>891.46259999999984</v>
      </c>
      <c r="H368" s="47">
        <f>SUM(H366:H367)</f>
        <v>1740.4745999999998</v>
      </c>
      <c r="I368" s="47">
        <f>SUM(I366:I367)</f>
        <v>4245.0599999999995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172.69</v>
      </c>
      <c r="I395" s="18"/>
      <c r="J395" s="24" t="s">
        <v>289</v>
      </c>
      <c r="K395" s="24" t="s">
        <v>289</v>
      </c>
      <c r="L395" s="56">
        <f t="shared" si="26"/>
        <v>172.69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643.76</v>
      </c>
      <c r="I396" s="18"/>
      <c r="J396" s="24" t="s">
        <v>289</v>
      </c>
      <c r="K396" s="24" t="s">
        <v>289</v>
      </c>
      <c r="L396" s="56">
        <f t="shared" si="26"/>
        <v>643.76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816.45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816.45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816.45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816.45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f>278844.69+643.76+172.69</f>
        <v>279661.14</v>
      </c>
      <c r="H439" s="18"/>
      <c r="I439" s="56">
        <f t="shared" si="33"/>
        <v>279661.14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279661.14</v>
      </c>
      <c r="H445" s="13">
        <f>SUM(H438:H444)</f>
        <v>0</v>
      </c>
      <c r="I445" s="13">
        <f>SUM(I438:I444)</f>
        <v>279661.14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278844.69+643.76+172.69</f>
        <v>279661.14</v>
      </c>
      <c r="H458" s="18"/>
      <c r="I458" s="56">
        <f t="shared" si="34"/>
        <v>279661.14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279661.14</v>
      </c>
      <c r="H459" s="83">
        <f>SUM(H453:H458)</f>
        <v>0</v>
      </c>
      <c r="I459" s="83">
        <f>SUM(I453:I458)</f>
        <v>279661.14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279661.14</v>
      </c>
      <c r="H460" s="42">
        <f>H451+H459</f>
        <v>0</v>
      </c>
      <c r="I460" s="42">
        <f>I451+I459</f>
        <v>279661.14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1176453.33</v>
      </c>
      <c r="G464" s="18">
        <v>42394.36</v>
      </c>
      <c r="H464" s="18">
        <v>152865.34</v>
      </c>
      <c r="I464" s="18"/>
      <c r="J464" s="18">
        <v>278844.69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29005848.269999996</v>
      </c>
      <c r="G467" s="18">
        <f t="shared" ref="G467:I467" si="35">G192</f>
        <v>585030.07000000007</v>
      </c>
      <c r="H467" s="18">
        <f t="shared" si="35"/>
        <v>993306.59</v>
      </c>
      <c r="I467" s="18">
        <f t="shared" si="35"/>
        <v>0</v>
      </c>
      <c r="J467" s="18">
        <f>L407</f>
        <v>816.45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29005848.269999996</v>
      </c>
      <c r="G469" s="53">
        <f>SUM(G467:G468)</f>
        <v>585030.07000000007</v>
      </c>
      <c r="H469" s="53">
        <f>SUM(H467:H468)</f>
        <v>993306.59</v>
      </c>
      <c r="I469" s="53">
        <f>SUM(I467:I468)</f>
        <v>0</v>
      </c>
      <c r="J469" s="53">
        <f>SUM(J467:J468)</f>
        <v>816.45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28979825.089999996</v>
      </c>
      <c r="G471" s="18">
        <f>L361</f>
        <v>585030.07000000007</v>
      </c>
      <c r="H471" s="18">
        <f>L351</f>
        <v>968480.45</v>
      </c>
      <c r="I471" s="18"/>
      <c r="J471" s="18">
        <f>L433</f>
        <v>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28979825.089999996</v>
      </c>
      <c r="G473" s="53">
        <f>SUM(G471:G472)</f>
        <v>585030.07000000007</v>
      </c>
      <c r="H473" s="53">
        <f>SUM(H471:H472)</f>
        <v>968480.45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1202476.5099999979</v>
      </c>
      <c r="G475" s="53">
        <f>(G464+G469)- G473</f>
        <v>42394.359999999986</v>
      </c>
      <c r="H475" s="53">
        <f>(H464+H469)- H473</f>
        <v>177691.47999999998</v>
      </c>
      <c r="I475" s="53">
        <f>(I464+I469)- I473</f>
        <v>0</v>
      </c>
      <c r="J475" s="53">
        <f>(J464+J469)- J473</f>
        <v>279661.14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29770200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4.54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23680000</v>
      </c>
      <c r="G494" s="18"/>
      <c r="H494" s="18"/>
      <c r="I494" s="18"/>
      <c r="J494" s="18"/>
      <c r="K494" s="53">
        <f>SUM(F494:J494)</f>
        <v>23680000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6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f>1278522.76+387935.58</f>
        <v>1666458.34</v>
      </c>
      <c r="G496" s="18"/>
      <c r="H496" s="18"/>
      <c r="I496" s="18"/>
      <c r="J496" s="18"/>
      <c r="K496" s="53">
        <f t="shared" si="36"/>
        <v>1666458.34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F492-F494-F496</f>
        <v>4423741.66</v>
      </c>
      <c r="G497" s="205"/>
      <c r="H497" s="205"/>
      <c r="I497" s="205"/>
      <c r="J497" s="205"/>
      <c r="K497" s="206">
        <f t="shared" si="36"/>
        <v>4423741.66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559067.74+179937.84+634362.44+185512.21+668051.3+186139.39+756169.11+183300.7+812043.93+176969.38+912611.23+167114.65+985523.45+153694.11+1056997.57+137927.33+1123085.69+118793.59+1198306.63+94750.96+1273549.26+66997.32+1350115.92+35464.66+1440342.44</f>
        <v>14456828.850000003</v>
      </c>
      <c r="G498" s="18"/>
      <c r="H498" s="18"/>
      <c r="I498" s="18"/>
      <c r="J498" s="18"/>
      <c r="K498" s="53">
        <f t="shared" si="36"/>
        <v>14456828.850000003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18880570.510000005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6"/>
        <v>18880570.510000005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f>1230029.01+345980.91</f>
        <v>1576009.92</v>
      </c>
      <c r="G500" s="205"/>
      <c r="H500" s="205"/>
      <c r="I500" s="205"/>
      <c r="J500" s="205"/>
      <c r="K500" s="206">
        <f t="shared" si="36"/>
        <v>1576009.92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559067.74+179937.84</f>
        <v>739005.58</v>
      </c>
      <c r="G501" s="18"/>
      <c r="H501" s="18"/>
      <c r="I501" s="18"/>
      <c r="J501" s="18"/>
      <c r="K501" s="53">
        <f t="shared" si="36"/>
        <v>739005.58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2315015.5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6"/>
        <v>2315015.5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229397</v>
      </c>
      <c r="G506" s="144">
        <f>I506-F506</f>
        <v>3338</v>
      </c>
      <c r="H506" s="144"/>
      <c r="I506" s="144">
        <v>232735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>
        <v>1101127</v>
      </c>
      <c r="G510" s="24" t="s">
        <v>289</v>
      </c>
      <c r="H510" s="18">
        <v>1101127</v>
      </c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>
        <v>260285</v>
      </c>
      <c r="G511" s="24" t="s">
        <v>289</v>
      </c>
      <c r="H511" s="18">
        <v>241587.20000000001</v>
      </c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31374122</v>
      </c>
      <c r="G512" s="24" t="s">
        <v>289</v>
      </c>
      <c r="H512" s="18">
        <f>1154184.38+29837806.03</f>
        <v>30991990.41</v>
      </c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524035</v>
      </c>
      <c r="G513" s="24" t="s">
        <v>289</v>
      </c>
      <c r="H513" s="18">
        <f>477314.11+25039.82+92510.59</f>
        <v>594864.52</v>
      </c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>
        <v>57164</v>
      </c>
      <c r="G514" s="24" t="s">
        <v>289</v>
      </c>
      <c r="H514" s="18">
        <v>54246.49</v>
      </c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>
        <f>F516</f>
        <v>33316733</v>
      </c>
      <c r="H515" s="24" t="s">
        <v>289</v>
      </c>
      <c r="I515" s="18">
        <f>H516</f>
        <v>32983815.619999997</v>
      </c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33316733</v>
      </c>
      <c r="G516" s="42">
        <f>SUM(G510:G515)</f>
        <v>33316733</v>
      </c>
      <c r="H516" s="42">
        <f>SUM(H510:H515)</f>
        <v>32983815.619999997</v>
      </c>
      <c r="I516" s="42">
        <f>SUM(I510:I515)</f>
        <v>32983815.619999997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1033077.04</v>
      </c>
      <c r="G520" s="18">
        <v>478629.94</v>
      </c>
      <c r="H520" s="18">
        <v>267217.78999999998</v>
      </c>
      <c r="I520" s="18">
        <v>9480.8799999999992</v>
      </c>
      <c r="J520" s="18">
        <v>66446.880000000005</v>
      </c>
      <c r="K520" s="18">
        <v>0</v>
      </c>
      <c r="L520" s="88">
        <f>SUM(F520:K520)</f>
        <v>1854852.5299999998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610087.72</v>
      </c>
      <c r="G521" s="18">
        <v>340417.2</v>
      </c>
      <c r="H521" s="18">
        <f>76214.01-I521</f>
        <v>74543.89</v>
      </c>
      <c r="I521" s="18">
        <f>374.49+234.17+929.54+131.92</f>
        <v>1670.12</v>
      </c>
      <c r="J521" s="18">
        <v>16532.36</v>
      </c>
      <c r="K521" s="18">
        <v>0</v>
      </c>
      <c r="L521" s="88">
        <f>SUM(F521:K521)</f>
        <v>1043251.2899999999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740599.12</v>
      </c>
      <c r="G522" s="18">
        <v>308961.46000000002</v>
      </c>
      <c r="H522" s="18">
        <v>527892.26</v>
      </c>
      <c r="I522" s="18">
        <v>24328.67</v>
      </c>
      <c r="J522" s="18">
        <v>27171.98</v>
      </c>
      <c r="K522" s="18">
        <v>0</v>
      </c>
      <c r="L522" s="88">
        <f>SUM(F522:K522)</f>
        <v>1628953.49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2383763.88</v>
      </c>
      <c r="G523" s="108">
        <f t="shared" ref="G523:L523" si="37">SUM(G520:G522)</f>
        <v>1128008.6000000001</v>
      </c>
      <c r="H523" s="108">
        <f t="shared" si="37"/>
        <v>869653.94</v>
      </c>
      <c r="I523" s="108">
        <f t="shared" si="37"/>
        <v>35479.67</v>
      </c>
      <c r="J523" s="108">
        <f t="shared" si="37"/>
        <v>110151.22</v>
      </c>
      <c r="K523" s="108">
        <f t="shared" si="37"/>
        <v>0</v>
      </c>
      <c r="L523" s="89">
        <f t="shared" si="37"/>
        <v>4527057.3099999996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912+274007.66</f>
        <v>274919.65999999997</v>
      </c>
      <c r="G525" s="18">
        <f>76.68+113037.41</f>
        <v>113114.09</v>
      </c>
      <c r="H525" s="18">
        <v>22070.880000000001</v>
      </c>
      <c r="I525" s="18"/>
      <c r="J525" s="18"/>
      <c r="K525" s="18"/>
      <c r="L525" s="88">
        <f>SUM(F525:K525)</f>
        <v>410104.63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504+82657.89</f>
        <v>83161.89</v>
      </c>
      <c r="G526" s="18">
        <f>42.37+34510.16</f>
        <v>34552.530000000006</v>
      </c>
      <c r="H526" s="18">
        <v>12197.06</v>
      </c>
      <c r="I526" s="18"/>
      <c r="J526" s="18"/>
      <c r="K526" s="18"/>
      <c r="L526" s="88">
        <f>SUM(F526:K526)</f>
        <v>129911.48000000001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984+63845.6</f>
        <v>64829.599999999999</v>
      </c>
      <c r="G527" s="18">
        <f>82.73+28607.66</f>
        <v>28690.39</v>
      </c>
      <c r="H527" s="18">
        <v>23813.31</v>
      </c>
      <c r="I527" s="18"/>
      <c r="J527" s="18"/>
      <c r="K527" s="18"/>
      <c r="L527" s="88">
        <f>SUM(F527:K527)</f>
        <v>117333.29999999999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422911.14999999997</v>
      </c>
      <c r="G528" s="89">
        <f t="shared" ref="G528:L528" si="38">SUM(G525:G527)</f>
        <v>176357.01</v>
      </c>
      <c r="H528" s="89">
        <f t="shared" si="38"/>
        <v>58081.25</v>
      </c>
      <c r="I528" s="89">
        <f t="shared" si="38"/>
        <v>0</v>
      </c>
      <c r="J528" s="89">
        <f t="shared" si="38"/>
        <v>0</v>
      </c>
      <c r="K528" s="89">
        <f t="shared" si="38"/>
        <v>0</v>
      </c>
      <c r="L528" s="89">
        <f t="shared" si="38"/>
        <v>657349.40999999992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61716.959999999999</v>
      </c>
      <c r="G530" s="18">
        <v>31223.02</v>
      </c>
      <c r="H530" s="18">
        <v>1788.66</v>
      </c>
      <c r="I530" s="18">
        <v>1430.12</v>
      </c>
      <c r="J530" s="18"/>
      <c r="K530" s="18">
        <v>505.78</v>
      </c>
      <c r="L530" s="88">
        <f>SUM(F530:K530)</f>
        <v>96664.54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34106.74</v>
      </c>
      <c r="G531" s="18">
        <v>17254.82</v>
      </c>
      <c r="H531" s="18">
        <v>988.47</v>
      </c>
      <c r="I531" s="18">
        <v>790.33</v>
      </c>
      <c r="J531" s="18"/>
      <c r="K531" s="18">
        <v>279.51</v>
      </c>
      <c r="L531" s="88">
        <f>SUM(F531:K531)</f>
        <v>53419.87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66589.350000000006</v>
      </c>
      <c r="G532" s="18">
        <v>33687.99</v>
      </c>
      <c r="H532" s="18">
        <v>1929.87</v>
      </c>
      <c r="I532" s="18">
        <v>1543.03</v>
      </c>
      <c r="J532" s="18"/>
      <c r="K532" s="18">
        <v>545.71</v>
      </c>
      <c r="L532" s="88">
        <f>SUM(F532:K532)</f>
        <v>104295.95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162413.04999999999</v>
      </c>
      <c r="G533" s="89">
        <f t="shared" ref="G533:L533" si="39">SUM(G530:G532)</f>
        <v>82165.829999999987</v>
      </c>
      <c r="H533" s="89">
        <f t="shared" si="39"/>
        <v>4707</v>
      </c>
      <c r="I533" s="89">
        <f t="shared" si="39"/>
        <v>3763.4799999999996</v>
      </c>
      <c r="J533" s="89">
        <f t="shared" si="39"/>
        <v>0</v>
      </c>
      <c r="K533" s="89">
        <f t="shared" si="39"/>
        <v>1331</v>
      </c>
      <c r="L533" s="89">
        <f t="shared" si="39"/>
        <v>254380.36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2451.9499999999998</v>
      </c>
      <c r="I535" s="18"/>
      <c r="J535" s="18"/>
      <c r="K535" s="18"/>
      <c r="L535" s="88">
        <f>SUM(F535:K535)</f>
        <v>2451.9499999999998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1355.03</v>
      </c>
      <c r="I536" s="18"/>
      <c r="J536" s="18"/>
      <c r="K536" s="18"/>
      <c r="L536" s="88">
        <f>SUM(F536:K536)</f>
        <v>1355.03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2645.53</v>
      </c>
      <c r="I537" s="18"/>
      <c r="J537" s="18"/>
      <c r="K537" s="18"/>
      <c r="L537" s="88">
        <f>SUM(F537:K537)</f>
        <v>2645.53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6452.51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6452.51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80418.5+80438.5+7950</f>
        <v>168807</v>
      </c>
      <c r="I540" s="18"/>
      <c r="J540" s="18"/>
      <c r="K540" s="18"/>
      <c r="L540" s="88">
        <f>SUM(F540:K540)</f>
        <v>168807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f>18443.5</f>
        <v>18443.5</v>
      </c>
      <c r="I541" s="18"/>
      <c r="J541" s="18"/>
      <c r="K541" s="18"/>
      <c r="L541" s="88">
        <f>SUM(F541:K541)</f>
        <v>18443.5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116361.83</f>
        <v>116361.83</v>
      </c>
      <c r="I542" s="18"/>
      <c r="J542" s="18"/>
      <c r="K542" s="18"/>
      <c r="L542" s="88">
        <f>SUM(F542:K542)</f>
        <v>116361.83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1">SUM(G540:G542)</f>
        <v>0</v>
      </c>
      <c r="H543" s="194">
        <f t="shared" si="41"/>
        <v>303612.33</v>
      </c>
      <c r="I543" s="194">
        <f t="shared" si="41"/>
        <v>0</v>
      </c>
      <c r="J543" s="194">
        <f t="shared" si="41"/>
        <v>0</v>
      </c>
      <c r="K543" s="194">
        <f t="shared" si="41"/>
        <v>0</v>
      </c>
      <c r="L543" s="194">
        <f t="shared" si="41"/>
        <v>303612.33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2969088.0799999996</v>
      </c>
      <c r="G544" s="89">
        <f t="shared" ref="G544:L544" si="42">G523+G528+G533+G538+G543</f>
        <v>1386531.4400000002</v>
      </c>
      <c r="H544" s="89">
        <f t="shared" si="42"/>
        <v>1242507.03</v>
      </c>
      <c r="I544" s="89">
        <f t="shared" si="42"/>
        <v>39243.149999999994</v>
      </c>
      <c r="J544" s="89">
        <f t="shared" si="42"/>
        <v>110151.22</v>
      </c>
      <c r="K544" s="89">
        <f t="shared" si="42"/>
        <v>1331</v>
      </c>
      <c r="L544" s="89">
        <f t="shared" si="42"/>
        <v>5748851.9199999999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1854852.5299999998</v>
      </c>
      <c r="G548" s="87">
        <f>L525</f>
        <v>410104.63</v>
      </c>
      <c r="H548" s="87">
        <f>L530</f>
        <v>96664.54</v>
      </c>
      <c r="I548" s="87">
        <f>L535</f>
        <v>2451.9499999999998</v>
      </c>
      <c r="J548" s="87">
        <f>L540</f>
        <v>168807</v>
      </c>
      <c r="K548" s="87">
        <f>SUM(F548:J548)</f>
        <v>2532880.65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1043251.2899999999</v>
      </c>
      <c r="G549" s="87">
        <f>L526</f>
        <v>129911.48000000001</v>
      </c>
      <c r="H549" s="87">
        <f>L531</f>
        <v>53419.87</v>
      </c>
      <c r="I549" s="87">
        <f>L536</f>
        <v>1355.03</v>
      </c>
      <c r="J549" s="87">
        <f>L541</f>
        <v>18443.5</v>
      </c>
      <c r="K549" s="87">
        <f>SUM(F549:J549)</f>
        <v>1246381.1700000002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1628953.49</v>
      </c>
      <c r="G550" s="87">
        <f>L527</f>
        <v>117333.29999999999</v>
      </c>
      <c r="H550" s="87">
        <f>L532</f>
        <v>104295.95</v>
      </c>
      <c r="I550" s="87">
        <f>L537</f>
        <v>2645.53</v>
      </c>
      <c r="J550" s="87">
        <f>L542</f>
        <v>116361.83</v>
      </c>
      <c r="K550" s="87">
        <f>SUM(F550:J550)</f>
        <v>1969590.1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4527057.3099999996</v>
      </c>
      <c r="G551" s="89">
        <f t="shared" si="43"/>
        <v>657349.40999999992</v>
      </c>
      <c r="H551" s="89">
        <f t="shared" si="43"/>
        <v>254380.36</v>
      </c>
      <c r="I551" s="89">
        <f t="shared" si="43"/>
        <v>6452.51</v>
      </c>
      <c r="J551" s="89">
        <f t="shared" si="43"/>
        <v>303612.33</v>
      </c>
      <c r="K551" s="89">
        <f t="shared" si="43"/>
        <v>5748851.9199999999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4">SUM(F556:F558)</f>
        <v>0</v>
      </c>
      <c r="G559" s="108">
        <f t="shared" si="44"/>
        <v>0</v>
      </c>
      <c r="H559" s="108">
        <f t="shared" si="44"/>
        <v>0</v>
      </c>
      <c r="I559" s="108">
        <f t="shared" si="44"/>
        <v>0</v>
      </c>
      <c r="J559" s="108">
        <f t="shared" si="44"/>
        <v>0</v>
      </c>
      <c r="K559" s="108">
        <f t="shared" si="44"/>
        <v>0</v>
      </c>
      <c r="L559" s="89">
        <f t="shared" si="44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>
        <f>25556.7-6495.36-2155</f>
        <v>16906.34</v>
      </c>
      <c r="I561" s="18">
        <f>22.88+44.8</f>
        <v>67.679999999999993</v>
      </c>
      <c r="J561" s="18"/>
      <c r="K561" s="18"/>
      <c r="L561" s="88">
        <f>SUM(F561:K561)</f>
        <v>16974.02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>
        <f>7600+88.33</f>
        <v>7688.33</v>
      </c>
      <c r="I562" s="18"/>
      <c r="J562" s="18"/>
      <c r="K562" s="18"/>
      <c r="L562" s="88">
        <f>SUM(F562:K562)</f>
        <v>7688.33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>
        <f>1275+100</f>
        <v>1375</v>
      </c>
      <c r="I563" s="18"/>
      <c r="J563" s="18"/>
      <c r="K563" s="18"/>
      <c r="L563" s="88">
        <f>SUM(F563:K563)</f>
        <v>1375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5">SUM(F561:F563)</f>
        <v>0</v>
      </c>
      <c r="G564" s="89">
        <f t="shared" si="45"/>
        <v>0</v>
      </c>
      <c r="H564" s="89">
        <f t="shared" si="45"/>
        <v>25969.67</v>
      </c>
      <c r="I564" s="89">
        <f t="shared" si="45"/>
        <v>67.679999999999993</v>
      </c>
      <c r="J564" s="89">
        <f t="shared" si="45"/>
        <v>0</v>
      </c>
      <c r="K564" s="89">
        <f t="shared" si="45"/>
        <v>0</v>
      </c>
      <c r="L564" s="89">
        <f t="shared" si="45"/>
        <v>26037.35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0</v>
      </c>
      <c r="G566" s="18">
        <v>0</v>
      </c>
      <c r="H566" s="18">
        <v>0</v>
      </c>
      <c r="I566" s="18">
        <v>0</v>
      </c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0</v>
      </c>
      <c r="G567" s="18">
        <v>0</v>
      </c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6">SUM(G566:G568)</f>
        <v>0</v>
      </c>
      <c r="H569" s="194">
        <f t="shared" si="46"/>
        <v>0</v>
      </c>
      <c r="I569" s="194">
        <f t="shared" si="46"/>
        <v>0</v>
      </c>
      <c r="J569" s="194">
        <f t="shared" si="46"/>
        <v>0</v>
      </c>
      <c r="K569" s="194">
        <f t="shared" si="46"/>
        <v>0</v>
      </c>
      <c r="L569" s="194">
        <f t="shared" si="46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7">G559+G564+G569</f>
        <v>0</v>
      </c>
      <c r="H570" s="89">
        <f t="shared" si="47"/>
        <v>25969.67</v>
      </c>
      <c r="I570" s="89">
        <f t="shared" si="47"/>
        <v>67.679999999999993</v>
      </c>
      <c r="J570" s="89">
        <f t="shared" si="47"/>
        <v>0</v>
      </c>
      <c r="K570" s="89">
        <f t="shared" si="47"/>
        <v>0</v>
      </c>
      <c r="L570" s="89">
        <f t="shared" si="47"/>
        <v>26037.35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9800</v>
      </c>
      <c r="I575" s="87">
        <f t="shared" ref="I575:I586" si="48">SUM(F575:H575)</f>
        <v>9800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174585.94</v>
      </c>
      <c r="G581" s="18">
        <v>23997.75</v>
      </c>
      <c r="H581" s="18">
        <v>460830.03</v>
      </c>
      <c r="I581" s="87">
        <f t="shared" si="48"/>
        <v>659413.72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173574.5</v>
      </c>
      <c r="I583" s="87">
        <f t="shared" si="48"/>
        <v>173574.5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690328.29*0.38</f>
        <v>262324.75020000001</v>
      </c>
      <c r="I590" s="18">
        <f>690328.29*0.21</f>
        <v>144968.94090000002</v>
      </c>
      <c r="J590" s="18">
        <f>690328.29-H590-I590</f>
        <v>283034.59889999998</v>
      </c>
      <c r="K590" s="104">
        <f t="shared" ref="K590:K596" si="49">SUM(H590:J590)</f>
        <v>690328.29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7950+80438.5+80418.5</f>
        <v>168807</v>
      </c>
      <c r="I591" s="18">
        <f>18443.5</f>
        <v>18443.5</v>
      </c>
      <c r="J591" s="18">
        <v>116361.83</v>
      </c>
      <c r="K591" s="104">
        <f t="shared" si="49"/>
        <v>303612.33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22716</v>
      </c>
      <c r="K592" s="104">
        <f t="shared" si="49"/>
        <v>22716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11729.79</v>
      </c>
      <c r="J593" s="18">
        <v>48308.800000000003</v>
      </c>
      <c r="K593" s="104">
        <f t="shared" si="49"/>
        <v>60038.590000000004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>
        <f>18644.79</f>
        <v>18644.79</v>
      </c>
      <c r="J594" s="18">
        <f>400+7729.81</f>
        <v>8129.81</v>
      </c>
      <c r="K594" s="104">
        <f t="shared" si="49"/>
        <v>26774.600000000002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431131.75020000001</v>
      </c>
      <c r="I597" s="108">
        <f>SUM(I590:I596)</f>
        <v>193787.02090000003</v>
      </c>
      <c r="J597" s="108">
        <f>SUM(J590:J596)</f>
        <v>478551.03889999999</v>
      </c>
      <c r="K597" s="108">
        <f>SUM(K590:K596)</f>
        <v>1103469.8100000003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47860.16+39897.85+14070+25034+695+896.05+223737.85+4765+1936+1936+12632-1929-1810.12</f>
        <v>369720.79000000004</v>
      </c>
      <c r="I603" s="18">
        <f>68050.59+123644.6+3640+28900-360.5-1000.34</f>
        <v>222874.35</v>
      </c>
      <c r="J603" s="18">
        <f>132002.86+241401.36+5969+400-770-360.5-1953.04</f>
        <v>376689.68</v>
      </c>
      <c r="K603" s="104">
        <f>SUM(H603:J603)</f>
        <v>969284.82000000007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369720.79000000004</v>
      </c>
      <c r="I604" s="108">
        <f>SUM(I601:I603)</f>
        <v>222874.35</v>
      </c>
      <c r="J604" s="108">
        <f>SUM(J601:J603)</f>
        <v>376689.68</v>
      </c>
      <c r="K604" s="108">
        <f>SUM(K601:K603)</f>
        <v>969284.82000000007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65559.09*0.38</f>
        <v>24912.4542</v>
      </c>
      <c r="G610" s="18">
        <f>12460.9*0.38</f>
        <v>4735.1419999999998</v>
      </c>
      <c r="H610" s="18">
        <f>8911.5+14209.2+3196.94</f>
        <v>26317.64</v>
      </c>
      <c r="I610" s="18"/>
      <c r="J610" s="18"/>
      <c r="K610" s="18"/>
      <c r="L610" s="88">
        <f>SUM(F610:K610)</f>
        <v>55965.236199999999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65559.09*0.21</f>
        <v>13767.408899999999</v>
      </c>
      <c r="G611" s="18">
        <f>12460.9*0.21</f>
        <v>2616.7889999999998</v>
      </c>
      <c r="H611" s="18">
        <f>8413*0.21</f>
        <v>1766.73</v>
      </c>
      <c r="I611" s="18"/>
      <c r="J611" s="18"/>
      <c r="K611" s="18"/>
      <c r="L611" s="88">
        <f>SUM(F611:K611)</f>
        <v>18150.927899999999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4800+26879.23</f>
        <v>31679.23</v>
      </c>
      <c r="G612" s="18">
        <f>367.2+542.4+5108.97</f>
        <v>6018.57</v>
      </c>
      <c r="H612" s="18">
        <f>74985.41+2769+3449.33</f>
        <v>81203.740000000005</v>
      </c>
      <c r="I612" s="18"/>
      <c r="J612" s="18"/>
      <c r="K612" s="18"/>
      <c r="L612" s="88">
        <f>SUM(F612:K612)</f>
        <v>118901.54000000001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0">SUM(F610:F612)</f>
        <v>70359.093099999998</v>
      </c>
      <c r="G613" s="108">
        <f t="shared" si="50"/>
        <v>13370.501</v>
      </c>
      <c r="H613" s="108">
        <f t="shared" si="50"/>
        <v>109288.11</v>
      </c>
      <c r="I613" s="108">
        <f t="shared" si="50"/>
        <v>0</v>
      </c>
      <c r="J613" s="108">
        <f t="shared" si="50"/>
        <v>0</v>
      </c>
      <c r="K613" s="108">
        <f t="shared" si="50"/>
        <v>0</v>
      </c>
      <c r="L613" s="89">
        <f t="shared" si="50"/>
        <v>193017.7041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1641445.9199999997</v>
      </c>
      <c r="H616" s="109">
        <f>SUM(F51)</f>
        <v>1641445.92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56970.259999999995</v>
      </c>
      <c r="H617" s="109">
        <f>SUM(G51)</f>
        <v>56970.259999999995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343732.55</v>
      </c>
      <c r="H618" s="109">
        <f>SUM(H51)</f>
        <v>343732.55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279661.14</v>
      </c>
      <c r="H620" s="109">
        <f>SUM(J51)</f>
        <v>279661.14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1202476.5099999998</v>
      </c>
      <c r="H621" s="109">
        <f>F475</f>
        <v>1202476.5099999979</v>
      </c>
      <c r="I621" s="121" t="s">
        <v>101</v>
      </c>
      <c r="J621" s="109">
        <f t="shared" ref="J621:J654" si="51">G621-H621</f>
        <v>1.862645149230957E-9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42394.36</v>
      </c>
      <c r="H622" s="109">
        <f>G475</f>
        <v>42394.359999999986</v>
      </c>
      <c r="I622" s="121" t="s">
        <v>102</v>
      </c>
      <c r="J622" s="109">
        <f t="shared" si="51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177691.48</v>
      </c>
      <c r="H623" s="109">
        <f>H475</f>
        <v>177691.47999999998</v>
      </c>
      <c r="I623" s="121" t="s">
        <v>103</v>
      </c>
      <c r="J623" s="109">
        <f t="shared" si="51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279661.14</v>
      </c>
      <c r="H625" s="109">
        <f>J475</f>
        <v>279661.14</v>
      </c>
      <c r="I625" s="140" t="s">
        <v>105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29005848.269999996</v>
      </c>
      <c r="H626" s="104">
        <f>SUM(F467)</f>
        <v>29005848.269999996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585030.07000000007</v>
      </c>
      <c r="H627" s="104">
        <f>SUM(G467)</f>
        <v>585030.07000000007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993306.59</v>
      </c>
      <c r="H628" s="104">
        <f>SUM(H467)</f>
        <v>993306.59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816.45</v>
      </c>
      <c r="H630" s="104">
        <f>SUM(J467)</f>
        <v>816.45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28979825.089999996</v>
      </c>
      <c r="H631" s="104">
        <f>SUM(F471)</f>
        <v>28979825.089999996</v>
      </c>
      <c r="I631" s="140" t="s">
        <v>111</v>
      </c>
      <c r="J631" s="109">
        <f t="shared" si="51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968480.45</v>
      </c>
      <c r="H632" s="104">
        <f>SUM(H471)</f>
        <v>968480.45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4245.0599999999995</v>
      </c>
      <c r="H633" s="104">
        <f>I368</f>
        <v>4245.0599999999995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585030.07000000007</v>
      </c>
      <c r="H634" s="104">
        <f>SUM(G471)</f>
        <v>585030.07000000007</v>
      </c>
      <c r="I634" s="140" t="s">
        <v>114</v>
      </c>
      <c r="J634" s="109">
        <f t="shared" si="51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1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816.45</v>
      </c>
      <c r="H636" s="164">
        <f>SUM(J467)</f>
        <v>816.45</v>
      </c>
      <c r="I636" s="165" t="s">
        <v>110</v>
      </c>
      <c r="J636" s="151">
        <f t="shared" si="51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279661.14</v>
      </c>
      <c r="H639" s="104">
        <f>SUM(G460)</f>
        <v>279661.14</v>
      </c>
      <c r="I639" s="140" t="s">
        <v>869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279661.14</v>
      </c>
      <c r="H641" s="104">
        <f>SUM(I460)</f>
        <v>279661.14</v>
      </c>
      <c r="I641" s="140" t="s">
        <v>871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816.45</v>
      </c>
      <c r="H643" s="104">
        <f>H407</f>
        <v>816.45</v>
      </c>
      <c r="I643" s="140" t="s">
        <v>481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816.45</v>
      </c>
      <c r="H645" s="104">
        <f>L407</f>
        <v>816.45</v>
      </c>
      <c r="I645" s="140" t="s">
        <v>478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1103469.8100000003</v>
      </c>
      <c r="H646" s="104">
        <f>L207+L225+L243</f>
        <v>1103469.81</v>
      </c>
      <c r="I646" s="140" t="s">
        <v>397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969284.82000000007</v>
      </c>
      <c r="H647" s="104">
        <f>(J256+J337)-(J254+J335)</f>
        <v>969284.82</v>
      </c>
      <c r="I647" s="140" t="s">
        <v>703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431131.75</v>
      </c>
      <c r="H648" s="104">
        <f>H597</f>
        <v>431131.75020000001</v>
      </c>
      <c r="I648" s="140" t="s">
        <v>389</v>
      </c>
      <c r="J648" s="109">
        <f t="shared" si="51"/>
        <v>-2.0000000949949026E-4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193787.02000000002</v>
      </c>
      <c r="H649" s="104">
        <f>I597</f>
        <v>193787.02090000003</v>
      </c>
      <c r="I649" s="140" t="s">
        <v>390</v>
      </c>
      <c r="J649" s="109">
        <f t="shared" si="51"/>
        <v>-9.0000001364387572E-4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478551.04000000004</v>
      </c>
      <c r="H650" s="104">
        <f>J597</f>
        <v>478551.03889999999</v>
      </c>
      <c r="I650" s="140" t="s">
        <v>391</v>
      </c>
      <c r="J650" s="109">
        <f t="shared" si="51"/>
        <v>1.1000000522471964E-3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21209.78</v>
      </c>
      <c r="H651" s="104">
        <f>K262+K344</f>
        <v>21209.78</v>
      </c>
      <c r="I651" s="140" t="s">
        <v>398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3357.35</v>
      </c>
      <c r="H652" s="104">
        <f>K263</f>
        <v>3357.35</v>
      </c>
      <c r="I652" s="140" t="s">
        <v>399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11302475.1</v>
      </c>
      <c r="G659" s="19">
        <f>(L228+L308+L358)</f>
        <v>6214315.7599999988</v>
      </c>
      <c r="H659" s="19">
        <f>(L246+L327+L359)</f>
        <v>10536629.829999998</v>
      </c>
      <c r="I659" s="19">
        <f>SUM(F659:H659)</f>
        <v>28053420.689999998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161752.39087381851</v>
      </c>
      <c r="G660" s="19">
        <f>(L358/IF(SUM(L357:L359)=0,1,SUM(L357:L359))*(SUM(G96:G109)))</f>
        <v>93646.122946930889</v>
      </c>
      <c r="H660" s="19">
        <f>(L359/IF(SUM(L357:L359)=0,1,SUM(L357:L359))*(SUM(G96:G109)))</f>
        <v>170265.66617925055</v>
      </c>
      <c r="I660" s="19">
        <f>SUM(F660:H660)</f>
        <v>425664.17999999993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431131.75</v>
      </c>
      <c r="G661" s="19">
        <f>(L225+L305)-(J225+J305)</f>
        <v>193787.02000000002</v>
      </c>
      <c r="H661" s="19">
        <f>(L243+L324)-(J243+J324)</f>
        <v>478551.04000000004</v>
      </c>
      <c r="I661" s="19">
        <f>SUM(F661:H661)</f>
        <v>1103469.81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600271.96620000002</v>
      </c>
      <c r="G662" s="200">
        <f>SUM(G574:G586)+SUM(I601:I603)+L611</f>
        <v>265023.02789999999</v>
      </c>
      <c r="H662" s="200">
        <f>SUM(H574:H586)+SUM(J601:J603)+L612</f>
        <v>1139795.75</v>
      </c>
      <c r="I662" s="19">
        <f>SUM(F662:H662)</f>
        <v>2005090.7441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10109318.99292618</v>
      </c>
      <c r="G663" s="19">
        <f>G659-SUM(G660:G662)</f>
        <v>5661859.5891530681</v>
      </c>
      <c r="H663" s="19">
        <f>H659-SUM(H660:H662)</f>
        <v>8748017.3738207482</v>
      </c>
      <c r="I663" s="19">
        <f>I659-SUM(I660:I662)</f>
        <v>24519195.955899999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681.79</v>
      </c>
      <c r="G664" s="249">
        <v>374.1</v>
      </c>
      <c r="H664" s="249">
        <v>712.44</v>
      </c>
      <c r="I664" s="19">
        <f>SUM(F664:H664)</f>
        <v>1768.33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14827.61</v>
      </c>
      <c r="G666" s="19">
        <f>ROUND(G663/G664,2)</f>
        <v>15134.62</v>
      </c>
      <c r="H666" s="19">
        <f>ROUND(H663/H664,2)</f>
        <v>12278.95</v>
      </c>
      <c r="I666" s="19">
        <f>ROUND(I663/I664,2)</f>
        <v>13865.74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-40.67</v>
      </c>
      <c r="I669" s="19">
        <f>SUM(F669:H669)</f>
        <v>-40.67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14827.61</v>
      </c>
      <c r="G671" s="19">
        <f>ROUND((G663+G668)/(G664+G669),2)</f>
        <v>15134.62</v>
      </c>
      <c r="H671" s="19">
        <f>ROUND((H663+H668)/(H664+H669),2)</f>
        <v>13022.34</v>
      </c>
      <c r="I671" s="19">
        <f>ROUND((I663+I668)/(I664+I669),2)</f>
        <v>14192.14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A22" sqref="A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Sanborn Regional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5" t="s">
        <v>784</v>
      </c>
      <c r="B3" s="275"/>
      <c r="C3" s="275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783</v>
      </c>
      <c r="C6" s="274"/>
    </row>
    <row r="7" spans="1:3" x14ac:dyDescent="0.2">
      <c r="A7" s="240" t="s">
        <v>786</v>
      </c>
      <c r="B7" s="272" t="s">
        <v>782</v>
      </c>
      <c r="C7" s="273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7184711.0600000005</v>
      </c>
      <c r="C9" s="230">
        <f>'DOE25'!G196+'DOE25'!G214+'DOE25'!G232+'DOE25'!G275+'DOE25'!G294+'DOE25'!G313</f>
        <v>2971302.01</v>
      </c>
    </row>
    <row r="10" spans="1:3" x14ac:dyDescent="0.2">
      <c r="A10" t="s">
        <v>779</v>
      </c>
      <c r="B10" s="241">
        <f>2244765.88+1429737.34+1101611.83+1257266.3+37912.18+81579+28396.72+28388.14+28388.14+59044+1000+9000+1500+33009.54+24850+12570+14450+13400+249861.91</f>
        <v>6656730.9799999986</v>
      </c>
      <c r="C10" s="241">
        <f>+C9*B10/B13</f>
        <v>2752951.0895742644</v>
      </c>
    </row>
    <row r="11" spans="1:3" x14ac:dyDescent="0.2">
      <c r="A11" t="s">
        <v>780</v>
      </c>
      <c r="B11" s="241">
        <f>21260.52+19070.06+19745.42+23765.08</f>
        <v>83841.08</v>
      </c>
      <c r="C11" s="241">
        <f>+B11/B13*C9</f>
        <v>34673.234239230602</v>
      </c>
    </row>
    <row r="12" spans="1:3" x14ac:dyDescent="0.2">
      <c r="A12" t="s">
        <v>781</v>
      </c>
      <c r="B12" s="241">
        <f>7184711.06-B11-B10</f>
        <v>444139.00000000093</v>
      </c>
      <c r="C12" s="241">
        <f>+B12/B13*C9</f>
        <v>183677.68618650516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7184711.0599999996</v>
      </c>
      <c r="C13" s="232">
        <f>SUM(C10:C12)</f>
        <v>2971302.01</v>
      </c>
    </row>
    <row r="14" spans="1:3" x14ac:dyDescent="0.2">
      <c r="B14" s="231"/>
      <c r="C14" s="231"/>
    </row>
    <row r="15" spans="1:3" x14ac:dyDescent="0.2">
      <c r="B15" s="274" t="s">
        <v>783</v>
      </c>
      <c r="C15" s="274"/>
    </row>
    <row r="16" spans="1:3" x14ac:dyDescent="0.2">
      <c r="A16" s="240" t="s">
        <v>787</v>
      </c>
      <c r="B16" s="272" t="s">
        <v>707</v>
      </c>
      <c r="C16" s="273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2540052.0100000002</v>
      </c>
      <c r="C18" s="230">
        <f>'DOE25'!G197+'DOE25'!G215+'DOE25'!G233+'DOE25'!G276+'DOE25'!G295+'DOE25'!G314</f>
        <v>1193305.18</v>
      </c>
    </row>
    <row r="19" spans="1:3" x14ac:dyDescent="0.2">
      <c r="A19" t="s">
        <v>779</v>
      </c>
      <c r="B19" s="241">
        <f>220243+140605+82872+106214+65559.09+110402+103879+83132+233030+87245+59152+52048+42960+54968.68+282900.47</f>
        <v>1725210.2399999998</v>
      </c>
      <c r="C19" s="241">
        <f>+B19/B22*C18</f>
        <v>810496.12680216052</v>
      </c>
    </row>
    <row r="20" spans="1:3" x14ac:dyDescent="0.2">
      <c r="A20" t="s">
        <v>780</v>
      </c>
      <c r="B20" s="241">
        <f>76606.74+145991.47+18130.06+44421.86+28341.34+110402.97+48221.85+116840.79+74273.51+44206.68+3750+1995+6082.08</f>
        <v>719264.35000000009</v>
      </c>
      <c r="C20" s="241">
        <f>+B20/B22*C18</f>
        <v>337907.2047600841</v>
      </c>
    </row>
    <row r="21" spans="1:3" x14ac:dyDescent="0.2">
      <c r="A21" t="s">
        <v>781</v>
      </c>
      <c r="B21" s="241">
        <v>95577.42</v>
      </c>
      <c r="C21" s="271">
        <v>44901.85</v>
      </c>
    </row>
    <row r="22" spans="1:3" x14ac:dyDescent="0.2">
      <c r="A22" t="str">
        <f>IF(B18=B22,IF(C18=C22,"Check Total OK","Check Total Error"),"Check Total Error")</f>
        <v>Check Total Error</v>
      </c>
      <c r="B22" s="232">
        <f>SUM(B19:B21)</f>
        <v>2540052.0099999998</v>
      </c>
      <c r="C22" s="232">
        <f>SUM(C19:C21)</f>
        <v>1193305.1815622447</v>
      </c>
    </row>
    <row r="23" spans="1:3" x14ac:dyDescent="0.2">
      <c r="B23" s="231"/>
      <c r="C23" s="231"/>
    </row>
    <row r="24" spans="1:3" x14ac:dyDescent="0.2">
      <c r="B24" s="274" t="s">
        <v>783</v>
      </c>
      <c r="C24" s="274"/>
    </row>
    <row r="25" spans="1:3" x14ac:dyDescent="0.2">
      <c r="A25" s="240" t="s">
        <v>788</v>
      </c>
      <c r="B25" s="272" t="s">
        <v>708</v>
      </c>
      <c r="C25" s="273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40" t="s">
        <v>789</v>
      </c>
      <c r="B34" s="272" t="s">
        <v>709</v>
      </c>
      <c r="C34" s="273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267910</v>
      </c>
      <c r="C36" s="236">
        <f>'DOE25'!G199+'DOE25'!G217+'DOE25'!G235+'DOE25'!G278+'DOE25'!G297+'DOE25'!G316</f>
        <v>60856.19</v>
      </c>
    </row>
    <row r="37" spans="1:3" x14ac:dyDescent="0.2">
      <c r="A37" t="s">
        <v>779</v>
      </c>
      <c r="B37" s="241">
        <f>72646+1200+4800+53791</f>
        <v>132437</v>
      </c>
      <c r="C37" s="241">
        <f>+B37/B40*C36</f>
        <v>30083.278843753502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135473</v>
      </c>
      <c r="C39" s="241">
        <f>+B39/B40*C36</f>
        <v>30772.9111562465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267910</v>
      </c>
      <c r="C40" s="232">
        <f>SUM(C37:C39)</f>
        <v>60856.19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6" t="str">
        <f>'DOE25'!A2</f>
        <v>Sanborn Regional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16415805.520000001</v>
      </c>
      <c r="D5" s="20">
        <f>SUM('DOE25'!L196:L199)+SUM('DOE25'!L214:L217)+SUM('DOE25'!L232:L235)-F5-G5</f>
        <v>15545723.690000001</v>
      </c>
      <c r="E5" s="244"/>
      <c r="F5" s="256">
        <f>SUM('DOE25'!J196:J199)+SUM('DOE25'!J214:J217)+SUM('DOE25'!J232:J235)</f>
        <v>819877.88</v>
      </c>
      <c r="G5" s="53">
        <f>SUM('DOE25'!K196:K199)+SUM('DOE25'!K214:K217)+SUM('DOE25'!K232:K235)</f>
        <v>50203.95</v>
      </c>
      <c r="H5" s="260"/>
    </row>
    <row r="6" spans="1:9" x14ac:dyDescent="0.2">
      <c r="A6" s="32">
        <v>2100</v>
      </c>
      <c r="B6" t="s">
        <v>801</v>
      </c>
      <c r="C6" s="246">
        <f t="shared" si="0"/>
        <v>1884006.2599999998</v>
      </c>
      <c r="D6" s="20">
        <f>'DOE25'!L201+'DOE25'!L219+'DOE25'!L237-F6-G6</f>
        <v>1876596.0999999999</v>
      </c>
      <c r="E6" s="244"/>
      <c r="F6" s="256">
        <f>'DOE25'!J201+'DOE25'!J219+'DOE25'!J237</f>
        <v>6816.17</v>
      </c>
      <c r="G6" s="53">
        <f>'DOE25'!K201+'DOE25'!K219+'DOE25'!K237</f>
        <v>593.99</v>
      </c>
      <c r="H6" s="260"/>
    </row>
    <row r="7" spans="1:9" x14ac:dyDescent="0.2">
      <c r="A7" s="32">
        <v>2200</v>
      </c>
      <c r="B7" t="s">
        <v>834</v>
      </c>
      <c r="C7" s="246">
        <f t="shared" si="0"/>
        <v>503571.97</v>
      </c>
      <c r="D7" s="20">
        <f>'DOE25'!L202+'DOE25'!L220+'DOE25'!L238-F7-G7</f>
        <v>490363.26999999996</v>
      </c>
      <c r="E7" s="244"/>
      <c r="F7" s="256">
        <f>'DOE25'!J202+'DOE25'!J220+'DOE25'!J238</f>
        <v>2528.5700000000002</v>
      </c>
      <c r="G7" s="53">
        <f>'DOE25'!K202+'DOE25'!K220+'DOE25'!K238</f>
        <v>10680.130000000001</v>
      </c>
      <c r="H7" s="260"/>
    </row>
    <row r="8" spans="1:9" x14ac:dyDescent="0.2">
      <c r="A8" s="32">
        <v>2300</v>
      </c>
      <c r="B8" t="s">
        <v>802</v>
      </c>
      <c r="C8" s="246">
        <f t="shared" si="0"/>
        <v>325087.67</v>
      </c>
      <c r="D8" s="244"/>
      <c r="E8" s="20">
        <f>'DOE25'!L203+'DOE25'!L221+'DOE25'!L239-F8-G8-D9-D11</f>
        <v>292781.92</v>
      </c>
      <c r="F8" s="256">
        <f>'DOE25'!J203+'DOE25'!J221+'DOE25'!J239</f>
        <v>59.99</v>
      </c>
      <c r="G8" s="53">
        <f>'DOE25'!K203+'DOE25'!K221+'DOE25'!K239</f>
        <v>32245.760000000002</v>
      </c>
      <c r="H8" s="260"/>
    </row>
    <row r="9" spans="1:9" x14ac:dyDescent="0.2">
      <c r="A9" s="32">
        <v>2310</v>
      </c>
      <c r="B9" t="s">
        <v>818</v>
      </c>
      <c r="C9" s="246">
        <f t="shared" si="0"/>
        <v>62708.9</v>
      </c>
      <c r="D9" s="245">
        <f>38208.9+24500</f>
        <v>62708.9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24500</v>
      </c>
      <c r="D10" s="244"/>
      <c r="E10" s="245">
        <v>24500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267394.95</v>
      </c>
      <c r="D11" s="245">
        <v>267394.95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1587232.5699999998</v>
      </c>
      <c r="D12" s="20">
        <f>'DOE25'!L204+'DOE25'!L222+'DOE25'!L240-F12-G12</f>
        <v>1563475.5299999998</v>
      </c>
      <c r="E12" s="244"/>
      <c r="F12" s="256">
        <f>'DOE25'!J204+'DOE25'!J222+'DOE25'!J240</f>
        <v>0</v>
      </c>
      <c r="G12" s="53">
        <f>'DOE25'!K204+'DOE25'!K222+'DOE25'!K240</f>
        <v>23757.040000000001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411660.13</v>
      </c>
      <c r="D13" s="244"/>
      <c r="E13" s="20">
        <f>'DOE25'!L205+'DOE25'!L223+'DOE25'!L241-F13-G13</f>
        <v>411195.13</v>
      </c>
      <c r="F13" s="256">
        <f>'DOE25'!J205+'DOE25'!J223+'DOE25'!J241</f>
        <v>300</v>
      </c>
      <c r="G13" s="53">
        <f>'DOE25'!K205+'DOE25'!K223+'DOE25'!K241</f>
        <v>165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3421395.58</v>
      </c>
      <c r="D14" s="20">
        <f>'DOE25'!L206+'DOE25'!L224+'DOE25'!L242-F14-G14</f>
        <v>3316945.9200000004</v>
      </c>
      <c r="E14" s="244"/>
      <c r="F14" s="256">
        <f>'DOE25'!J206+'DOE25'!J224+'DOE25'!J242</f>
        <v>99200.86</v>
      </c>
      <c r="G14" s="53">
        <f>'DOE25'!K206+'DOE25'!K224+'DOE25'!K242</f>
        <v>5248.7999999999993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1103469.81</v>
      </c>
      <c r="D15" s="20">
        <f>'DOE25'!L207+'DOE25'!L225+'DOE25'!L243-F15-G15</f>
        <v>1103469.81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557576.81000000006</v>
      </c>
      <c r="D16" s="244"/>
      <c r="E16" s="20">
        <f>'DOE25'!L208+'DOE25'!L226+'DOE25'!L244-F16-G16</f>
        <v>557576.81000000006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21812.18</v>
      </c>
      <c r="D19" s="20">
        <f>'DOE25'!L252-F19-G19</f>
        <v>19312.18</v>
      </c>
      <c r="E19" s="244"/>
      <c r="F19" s="256">
        <f>'DOE25'!J252</f>
        <v>0</v>
      </c>
      <c r="G19" s="53">
        <f>'DOE25'!K252</f>
        <v>2500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117016.10999999999</v>
      </c>
      <c r="D22" s="244"/>
      <c r="E22" s="244"/>
      <c r="F22" s="256">
        <f>'DOE25'!L254+'DOE25'!L335</f>
        <v>117016.10999999999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2316519.5</v>
      </c>
      <c r="D25" s="244"/>
      <c r="E25" s="244"/>
      <c r="F25" s="259"/>
      <c r="G25" s="257"/>
      <c r="H25" s="258">
        <f>'DOE25'!L259+'DOE25'!L260+'DOE25'!L340+'DOE25'!L341</f>
        <v>2316519.5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585030.07000000007</v>
      </c>
      <c r="D29" s="20">
        <f>'DOE25'!L357+'DOE25'!L358+'DOE25'!L359-'DOE25'!I366-F29-G29</f>
        <v>584845.44000000006</v>
      </c>
      <c r="E29" s="244"/>
      <c r="F29" s="256">
        <f>'DOE25'!J357+'DOE25'!J358+'DOE25'!J359</f>
        <v>0</v>
      </c>
      <c r="G29" s="53">
        <f>'DOE25'!K357+'DOE25'!K358+'DOE25'!K359</f>
        <v>184.63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928480.45</v>
      </c>
      <c r="D31" s="20">
        <f>'DOE25'!L289+'DOE25'!L308+'DOE25'!L327+'DOE25'!L332+'DOE25'!L333+'DOE25'!L334-F31-G31</f>
        <v>887979.1</v>
      </c>
      <c r="E31" s="244"/>
      <c r="F31" s="256">
        <f>'DOE25'!J289+'DOE25'!J308+'DOE25'!J327+'DOE25'!J332+'DOE25'!J333+'DOE25'!J334</f>
        <v>40501.35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25718814.890000004</v>
      </c>
      <c r="E33" s="247">
        <f>SUM(E5:E31)</f>
        <v>1286053.8600000001</v>
      </c>
      <c r="F33" s="247">
        <f>SUM(F5:F31)</f>
        <v>1086300.93</v>
      </c>
      <c r="G33" s="247">
        <f>SUM(G5:G31)</f>
        <v>125579.3</v>
      </c>
      <c r="H33" s="247">
        <f>SUM(H5:H31)</f>
        <v>2316519.5</v>
      </c>
    </row>
    <row r="35" spans="2:8" ht="12" thickBot="1" x14ac:dyDescent="0.25">
      <c r="B35" s="254" t="s">
        <v>847</v>
      </c>
      <c r="D35" s="255">
        <f>E33</f>
        <v>1286053.8600000001</v>
      </c>
      <c r="E35" s="250"/>
    </row>
    <row r="36" spans="2:8" ht="12" thickTop="1" x14ac:dyDescent="0.2">
      <c r="B36" t="s">
        <v>815</v>
      </c>
      <c r="D36" s="20">
        <f>D33</f>
        <v>25718814.890000004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03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Sanborn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1272794.0599999998</v>
      </c>
      <c r="D8" s="95">
        <f>'DOE25'!G9</f>
        <v>9127.34</v>
      </c>
      <c r="E8" s="95">
        <f>'DOE25'!H9</f>
        <v>167191.35999999999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279661.14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173294.19</v>
      </c>
      <c r="D11" s="95">
        <f>'DOE25'!G12</f>
        <v>41662.42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6180.5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152157.72</v>
      </c>
      <c r="D13" s="95">
        <f>'DOE25'!G14</f>
        <v>0</v>
      </c>
      <c r="E13" s="95">
        <f>'DOE25'!H14</f>
        <v>176541.19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43199.95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1641445.9199999997</v>
      </c>
      <c r="D18" s="41">
        <f>SUM(D8:D17)</f>
        <v>56970.259999999995</v>
      </c>
      <c r="E18" s="41">
        <f>SUM(E8:E17)</f>
        <v>343732.55</v>
      </c>
      <c r="F18" s="41">
        <f>SUM(F8:F17)</f>
        <v>0</v>
      </c>
      <c r="G18" s="41">
        <f>SUM(G8:G17)</f>
        <v>279661.14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55916.75</v>
      </c>
      <c r="D21" s="95">
        <f>'DOE25'!G22</f>
        <v>0</v>
      </c>
      <c r="E21" s="95">
        <f>'DOE25'!H22</f>
        <v>159039.85999999999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344993.02</v>
      </c>
      <c r="D23" s="95">
        <f>'DOE25'!G24</f>
        <v>9442.2099999999991</v>
      </c>
      <c r="E23" s="95">
        <f>'DOE25'!H24</f>
        <v>7001.21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37282.870000000003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76.77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700</v>
      </c>
      <c r="D29" s="95">
        <f>'DOE25'!G30</f>
        <v>5133.6899999999996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438969.41000000003</v>
      </c>
      <c r="D31" s="41">
        <f>SUM(D21:D30)</f>
        <v>14575.899999999998</v>
      </c>
      <c r="E31" s="41">
        <f>SUM(E21:E30)</f>
        <v>166041.06999999998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42394.36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 t="str">
        <f>'DOE25'!F44</f>
        <v xml:space="preserve"> 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1071.07</v>
      </c>
      <c r="D46" s="95">
        <f>'DOE25'!G47</f>
        <v>0</v>
      </c>
      <c r="E46" s="95">
        <f>'DOE25'!H47</f>
        <v>177691.48</v>
      </c>
      <c r="F46" s="95">
        <f>'DOE25'!I47</f>
        <v>0</v>
      </c>
      <c r="G46" s="95">
        <f>'DOE25'!J47</f>
        <v>279661.14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602350.28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599055.15999999968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1202476.5099999998</v>
      </c>
      <c r="D49" s="41">
        <f>SUM(D34:D48)</f>
        <v>42394.36</v>
      </c>
      <c r="E49" s="41">
        <f>SUM(E34:E48)</f>
        <v>177691.48</v>
      </c>
      <c r="F49" s="41">
        <f>SUM(F34:F48)</f>
        <v>0</v>
      </c>
      <c r="G49" s="41">
        <f>SUM(G34:G48)</f>
        <v>279661.14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1641445.92</v>
      </c>
      <c r="D50" s="41">
        <f>D49+D31</f>
        <v>56970.259999999995</v>
      </c>
      <c r="E50" s="41">
        <f>E49+E31</f>
        <v>343732.55</v>
      </c>
      <c r="F50" s="41">
        <f>F49+F31</f>
        <v>0</v>
      </c>
      <c r="G50" s="41">
        <f>G49+G31</f>
        <v>279661.14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18024212.289999999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3363708.74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3019.69</v>
      </c>
      <c r="D58" s="95">
        <f>'DOE25'!G95</f>
        <v>13.53</v>
      </c>
      <c r="E58" s="95">
        <f>'DOE25'!H95</f>
        <v>78.349999999999994</v>
      </c>
      <c r="F58" s="95">
        <f>'DOE25'!I95</f>
        <v>0</v>
      </c>
      <c r="G58" s="95">
        <f>'DOE25'!J95</f>
        <v>816.45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425664.18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12706.01</v>
      </c>
      <c r="D60" s="95">
        <f>SUM('DOE25'!G97:G109)</f>
        <v>0</v>
      </c>
      <c r="E60" s="95">
        <f>SUM('DOE25'!H97:H109)</f>
        <v>117044.15000000001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3379434.44</v>
      </c>
      <c r="D61" s="130">
        <f>SUM(D56:D60)</f>
        <v>425677.71</v>
      </c>
      <c r="E61" s="130">
        <f>SUM(E56:E60)</f>
        <v>117122.50000000001</v>
      </c>
      <c r="F61" s="130">
        <f>SUM(F56:F60)</f>
        <v>0</v>
      </c>
      <c r="G61" s="130">
        <f>SUM(G56:G60)</f>
        <v>816.45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21403646.73</v>
      </c>
      <c r="D62" s="22">
        <f>D55+D61</f>
        <v>425677.71</v>
      </c>
      <c r="E62" s="22">
        <f>E55+E61</f>
        <v>117122.50000000001</v>
      </c>
      <c r="F62" s="22">
        <f>F55+F61</f>
        <v>0</v>
      </c>
      <c r="G62" s="22">
        <f>G55+G61</f>
        <v>816.45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3705190.69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2496333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3210.31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34911.550000000003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6239645.5499999989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839150.45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356910.62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18224.13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7025.39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1214285.1999999997</v>
      </c>
      <c r="D77" s="130">
        <f>SUM(D71:D76)</f>
        <v>7025.39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7453930.7499999981</v>
      </c>
      <c r="D80" s="130">
        <f>SUM(D78:D79)+D77+D69</f>
        <v>7025.39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784.03</v>
      </c>
      <c r="D84" s="95">
        <f>'DOE25'!G146</f>
        <v>0</v>
      </c>
      <c r="E84" s="95">
        <f>'DOE25'!H146</f>
        <v>10000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147486.76</v>
      </c>
      <c r="D87" s="95">
        <f>SUM('DOE25'!G152:G160)</f>
        <v>131117.19</v>
      </c>
      <c r="E87" s="95">
        <f>SUM('DOE25'!H152:H160)</f>
        <v>862826.74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148270.79</v>
      </c>
      <c r="D90" s="131">
        <f>SUM(D84:D89)</f>
        <v>131117.19</v>
      </c>
      <c r="E90" s="131">
        <f>SUM(E84:E89)</f>
        <v>872826.74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21209.78</v>
      </c>
      <c r="E95" s="95">
        <f>'DOE25'!H178</f>
        <v>3357.35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21209.78</v>
      </c>
      <c r="E102" s="86">
        <f>SUM(E92:E101)</f>
        <v>3357.35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29005848.269999996</v>
      </c>
      <c r="D103" s="86">
        <f>D62+D80+D90+D102</f>
        <v>585030.07000000007</v>
      </c>
      <c r="E103" s="86">
        <f>E62+E80+E90+E102</f>
        <v>993306.59</v>
      </c>
      <c r="F103" s="86">
        <f>F62+F80+F90+F102</f>
        <v>0</v>
      </c>
      <c r="G103" s="86">
        <f>G62+G80+G102</f>
        <v>816.45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11372609.18</v>
      </c>
      <c r="D108" s="24" t="s">
        <v>289</v>
      </c>
      <c r="E108" s="95">
        <f>('DOE25'!L275)+('DOE25'!L294)+('DOE25'!L313)</f>
        <v>455258.82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4375964.18</v>
      </c>
      <c r="D109" s="24" t="s">
        <v>289</v>
      </c>
      <c r="E109" s="95">
        <f>('DOE25'!L276)+('DOE25'!L295)+('DOE25'!L314)</f>
        <v>407313.61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173574.5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493657.66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21812.18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16437617.699999999</v>
      </c>
      <c r="D114" s="86">
        <f>SUM(D108:D113)</f>
        <v>0</v>
      </c>
      <c r="E114" s="86">
        <f>SUM(E108:E113)</f>
        <v>862572.42999999993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1884006.2599999998</v>
      </c>
      <c r="D117" s="24" t="s">
        <v>289</v>
      </c>
      <c r="E117" s="95">
        <f>+('DOE25'!L280)+('DOE25'!L299)+('DOE25'!L318)</f>
        <v>62450.930000000008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503571.97</v>
      </c>
      <c r="D118" s="24" t="s">
        <v>289</v>
      </c>
      <c r="E118" s="95">
        <f>+('DOE25'!L281)+('DOE25'!L300)+('DOE25'!L319)</f>
        <v>3457.09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655191.52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1587232.5699999998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411660.13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3421395.58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1103469.81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557576.81000000006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585030.07000000007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10124104.65</v>
      </c>
      <c r="D127" s="86">
        <f>SUM(D117:D126)</f>
        <v>585030.07000000007</v>
      </c>
      <c r="E127" s="86">
        <f>SUM(E117:E126)</f>
        <v>65908.02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77016.109999999986</v>
      </c>
      <c r="D129" s="24" t="s">
        <v>289</v>
      </c>
      <c r="E129" s="129">
        <f>'DOE25'!L335</f>
        <v>40000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1666458.34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650061.16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21209.78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3357.35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816.45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-816.45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2418102.7400000002</v>
      </c>
      <c r="D143" s="141">
        <f>SUM(D129:D142)</f>
        <v>0</v>
      </c>
      <c r="E143" s="141">
        <f>SUM(E129:E142)</f>
        <v>40000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28979825.090000004</v>
      </c>
      <c r="D144" s="86">
        <f>(D114+D127+D143)</f>
        <v>585030.07000000007</v>
      </c>
      <c r="E144" s="86">
        <f>(E114+E127+E143)</f>
        <v>968480.45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08/04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29770200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4.54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23680000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23680000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1666458.34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1666458.34</v>
      </c>
    </row>
    <row r="158" spans="1:9" x14ac:dyDescent="0.2">
      <c r="A158" s="22" t="s">
        <v>35</v>
      </c>
      <c r="B158" s="137">
        <f>'DOE25'!F497</f>
        <v>4423741.66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4423741.66</v>
      </c>
    </row>
    <row r="159" spans="1:9" x14ac:dyDescent="0.2">
      <c r="A159" s="22" t="s">
        <v>36</v>
      </c>
      <c r="B159" s="137">
        <f>'DOE25'!F498</f>
        <v>14456828.850000003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14456828.850000003</v>
      </c>
    </row>
    <row r="160" spans="1:9" x14ac:dyDescent="0.2">
      <c r="A160" s="22" t="s">
        <v>37</v>
      </c>
      <c r="B160" s="137">
        <f>'DOE25'!F499</f>
        <v>18880570.510000005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18880570.510000005</v>
      </c>
    </row>
    <row r="161" spans="1:7" x14ac:dyDescent="0.2">
      <c r="A161" s="22" t="s">
        <v>38</v>
      </c>
      <c r="B161" s="137">
        <f>'DOE25'!F500</f>
        <v>1576009.92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1576009.92</v>
      </c>
    </row>
    <row r="162" spans="1:7" x14ac:dyDescent="0.2">
      <c r="A162" s="22" t="s">
        <v>39</v>
      </c>
      <c r="B162" s="137">
        <f>'DOE25'!F501</f>
        <v>739005.58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739005.58</v>
      </c>
    </row>
    <row r="163" spans="1:7" x14ac:dyDescent="0.2">
      <c r="A163" s="22" t="s">
        <v>246</v>
      </c>
      <c r="B163" s="137">
        <f>'DOE25'!F502</f>
        <v>2315015.5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2315015.5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Sanborn Regional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14828</v>
      </c>
    </row>
    <row r="5" spans="1:4" x14ac:dyDescent="0.2">
      <c r="B5" t="s">
        <v>704</v>
      </c>
      <c r="C5" s="179">
        <f>IF('DOE25'!G664+'DOE25'!G669=0,0,ROUND('DOE25'!G671,0))</f>
        <v>15135</v>
      </c>
    </row>
    <row r="6" spans="1:4" x14ac:dyDescent="0.2">
      <c r="B6" t="s">
        <v>62</v>
      </c>
      <c r="C6" s="179">
        <f>IF('DOE25'!H664+'DOE25'!H669=0,0,ROUND('DOE25'!H671,0))</f>
        <v>13022</v>
      </c>
    </row>
    <row r="7" spans="1:4" x14ac:dyDescent="0.2">
      <c r="B7" t="s">
        <v>705</v>
      </c>
      <c r="C7" s="179">
        <f>IF('DOE25'!I664+'DOE25'!I669=0,0,ROUND('DOE25'!I671,0))</f>
        <v>14192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11827868</v>
      </c>
      <c r="D10" s="182">
        <f>ROUND((C10/$C$28)*100,1)</f>
        <v>41.8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4783278</v>
      </c>
      <c r="D11" s="182">
        <f>ROUND((C11/$C$28)*100,1)</f>
        <v>16.899999999999999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173575</v>
      </c>
      <c r="D12" s="182">
        <f>ROUND((C12/$C$28)*100,1)</f>
        <v>0.6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493658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1946457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507029</v>
      </c>
      <c r="D16" s="182">
        <f t="shared" si="0"/>
        <v>1.8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1212768</v>
      </c>
      <c r="D17" s="182">
        <f t="shared" si="0"/>
        <v>4.3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1587233</v>
      </c>
      <c r="D18" s="182">
        <f t="shared" si="0"/>
        <v>5.6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411660</v>
      </c>
      <c r="D19" s="182">
        <f t="shared" si="0"/>
        <v>1.5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3421396</v>
      </c>
      <c r="D20" s="182">
        <f t="shared" si="0"/>
        <v>12.1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1103470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21812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ROUND('DOE25'!L260+'DOE25'!L341,0)</f>
        <v>650061</v>
      </c>
      <c r="D25" s="182">
        <f t="shared" si="0"/>
        <v>2.2999999999999998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159365.82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28299630.82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117016</v>
      </c>
    </row>
    <row r="30" spans="1:4" x14ac:dyDescent="0.2">
      <c r="B30" s="187" t="s">
        <v>729</v>
      </c>
      <c r="C30" s="180">
        <f>SUM(C28:C29)</f>
        <v>28416646.82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1666458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18024212</v>
      </c>
      <c r="D35" s="182">
        <f t="shared" ref="D35:D40" si="1">ROUND((C35/$C$41)*100,1)</f>
        <v>59.8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3497387.2100000009</v>
      </c>
      <c r="D36" s="182">
        <f t="shared" si="1"/>
        <v>11.6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6204734</v>
      </c>
      <c r="D37" s="182">
        <f t="shared" si="1"/>
        <v>20.6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1256222</v>
      </c>
      <c r="D38" s="182">
        <f t="shared" si="1"/>
        <v>4.2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1152215</v>
      </c>
      <c r="D39" s="182">
        <f t="shared" si="1"/>
        <v>3.8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30134770.210000001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4"/>
      <c r="K1" s="214"/>
      <c r="L1" s="214"/>
      <c r="M1" s="215"/>
    </row>
    <row r="2" spans="1:26" ht="12.75" x14ac:dyDescent="0.2">
      <c r="A2" s="297" t="s">
        <v>767</v>
      </c>
      <c r="B2" s="298"/>
      <c r="C2" s="298"/>
      <c r="D2" s="298"/>
      <c r="E2" s="298"/>
      <c r="F2" s="291" t="str">
        <f>'DOE25'!A2</f>
        <v>Sanborn Regional School District</v>
      </c>
      <c r="G2" s="292"/>
      <c r="H2" s="292"/>
      <c r="I2" s="292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2012-09-04T15:25:20Z</cp:lastPrinted>
  <dcterms:created xsi:type="dcterms:W3CDTF">1997-12-04T19:04:30Z</dcterms:created>
  <dcterms:modified xsi:type="dcterms:W3CDTF">2012-11-21T16:01:32Z</dcterms:modified>
</cp:coreProperties>
</file>