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75" yWindow="0" windowWidth="22140" windowHeight="11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196" i="1" l="1"/>
  <c r="I603" i="1" l="1"/>
  <c r="H603" i="1"/>
  <c r="C10" i="12"/>
  <c r="C11" i="12"/>
  <c r="C12" i="12"/>
  <c r="C19" i="12"/>
  <c r="C20" i="12"/>
  <c r="C21" i="12"/>
  <c r="K530" i="1"/>
  <c r="K531" i="1"/>
  <c r="G521" i="1"/>
  <c r="G520" i="1"/>
  <c r="H521" i="1"/>
  <c r="H520" i="1"/>
  <c r="I521" i="1"/>
  <c r="I520" i="1"/>
  <c r="J520" i="1" l="1"/>
  <c r="J521" i="1"/>
  <c r="F521" i="1"/>
  <c r="F520" i="1"/>
  <c r="G526" i="1"/>
  <c r="G525" i="1"/>
  <c r="F526" i="1"/>
  <c r="F525" i="1"/>
  <c r="I275" i="1"/>
  <c r="K282" i="1"/>
  <c r="K301" i="1"/>
  <c r="I295" i="1"/>
  <c r="I276" i="1"/>
  <c r="H295" i="1"/>
  <c r="H276" i="1"/>
  <c r="H275" i="1"/>
  <c r="G275" i="1"/>
  <c r="F496" i="1" l="1"/>
  <c r="F501" i="1"/>
  <c r="B11" i="12" l="1"/>
  <c r="B12" i="12"/>
  <c r="B10" i="12"/>
  <c r="C39" i="12"/>
  <c r="C37" i="12"/>
  <c r="B20" i="12"/>
  <c r="B19" i="12"/>
  <c r="G531" i="1"/>
  <c r="G530" i="1"/>
  <c r="G204" i="1"/>
  <c r="G222" i="1"/>
  <c r="G220" i="1"/>
  <c r="G202" i="1"/>
  <c r="J295" i="1" l="1"/>
  <c r="J276" i="1"/>
  <c r="G299" i="1"/>
  <c r="G280" i="1"/>
  <c r="G295" i="1"/>
  <c r="G276" i="1"/>
  <c r="G294" i="1"/>
  <c r="F275" i="1"/>
  <c r="F295" i="1"/>
  <c r="F276" i="1"/>
  <c r="F299" i="1"/>
  <c r="F280" i="1"/>
  <c r="F294" i="1"/>
  <c r="B39" i="12"/>
  <c r="B21" i="12"/>
  <c r="I224" i="1"/>
  <c r="I602" i="1"/>
  <c r="H602" i="1"/>
  <c r="I591" i="1"/>
  <c r="I590" i="1"/>
  <c r="I596" i="1"/>
  <c r="H596" i="1"/>
  <c r="H591" i="1"/>
  <c r="H590" i="1"/>
  <c r="H541" i="1"/>
  <c r="H540" i="1"/>
  <c r="H220" i="1"/>
  <c r="H202" i="1"/>
  <c r="K221" i="1"/>
  <c r="K203" i="1"/>
  <c r="K215" i="1"/>
  <c r="K197" i="1"/>
  <c r="J224" i="1"/>
  <c r="J206" i="1"/>
  <c r="J220" i="1"/>
  <c r="J202" i="1"/>
  <c r="J215" i="1"/>
  <c r="J197" i="1"/>
  <c r="I206" i="1"/>
  <c r="I220" i="1"/>
  <c r="I202" i="1"/>
  <c r="I215" i="1"/>
  <c r="I197" i="1"/>
  <c r="H225" i="1"/>
  <c r="H207" i="1"/>
  <c r="H224" i="1"/>
  <c r="H206" i="1"/>
  <c r="H221" i="1"/>
  <c r="H203" i="1"/>
  <c r="H215" i="1"/>
  <c r="H197" i="1"/>
  <c r="F224" i="1"/>
  <c r="F206" i="1"/>
  <c r="F221" i="1"/>
  <c r="F203" i="1"/>
  <c r="F220" i="1"/>
  <c r="F202" i="1"/>
  <c r="F219" i="1"/>
  <c r="F201" i="1"/>
  <c r="F215" i="1"/>
  <c r="F197" i="1"/>
  <c r="F217" i="1"/>
  <c r="I196" i="1"/>
  <c r="F199" i="1"/>
  <c r="F29" i="1"/>
  <c r="F28" i="1"/>
  <c r="F9" i="1"/>
  <c r="I249" i="1"/>
  <c r="H249" i="1"/>
  <c r="J467" i="1"/>
  <c r="G438" i="1"/>
  <c r="J95" i="1"/>
  <c r="G366" i="1"/>
  <c r="F366" i="1"/>
  <c r="G367" i="1"/>
  <c r="F367" i="1"/>
  <c r="K358" i="1"/>
  <c r="K357" i="1"/>
  <c r="G358" i="1"/>
  <c r="G357" i="1"/>
  <c r="J358" i="1"/>
  <c r="J357" i="1"/>
  <c r="I358" i="1"/>
  <c r="I357" i="1"/>
  <c r="H358" i="1"/>
  <c r="H357" i="1"/>
  <c r="F358" i="1"/>
  <c r="F357" i="1"/>
  <c r="G15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L255" i="1" s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I337" i="1" s="1"/>
  <c r="I351" i="1" s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K256" i="1"/>
  <c r="K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C114" i="2" l="1"/>
  <c r="G31" i="13"/>
  <c r="F31" i="13"/>
  <c r="E90" i="2"/>
  <c r="I662" i="1"/>
  <c r="F544" i="1"/>
  <c r="J649" i="1"/>
  <c r="C16" i="10"/>
  <c r="A22" i="12"/>
  <c r="G33" i="13"/>
  <c r="I256" i="1"/>
  <c r="I270" i="1" s="1"/>
  <c r="C10" i="10"/>
  <c r="J648" i="1"/>
  <c r="F659" i="1"/>
  <c r="F663" i="1" s="1"/>
  <c r="L256" i="1"/>
  <c r="L270" i="1" s="1"/>
  <c r="G631" i="1" s="1"/>
  <c r="J631" i="1" s="1"/>
  <c r="F139" i="1"/>
  <c r="J641" i="1"/>
  <c r="L361" i="1"/>
  <c r="G168" i="1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J647" i="1" l="1"/>
  <c r="F192" i="1"/>
  <c r="G626" i="1" s="1"/>
  <c r="J626" i="1" s="1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C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3" i="10" l="1"/>
  <c r="D25" i="10"/>
  <c r="D22" i="10"/>
  <c r="D15" i="10"/>
  <c r="D17" i="10"/>
  <c r="D26" i="10"/>
  <c r="D18" i="10"/>
  <c r="D13" i="10"/>
  <c r="D20" i="10"/>
  <c r="D10" i="10"/>
  <c r="D24" i="10"/>
  <c r="D11" i="10"/>
  <c r="C30" i="10"/>
  <c r="D19" i="10"/>
  <c r="D16" i="10"/>
  <c r="D12" i="10"/>
  <c r="D21" i="10"/>
  <c r="D27" i="10"/>
  <c r="D41" i="10"/>
  <c r="I666" i="1"/>
  <c r="I671" i="1"/>
  <c r="C7" i="10" s="1"/>
  <c r="G671" i="1"/>
  <c r="C5" i="10" s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<sst xmlns="http://schemas.openxmlformats.org/spreadsheetml/2006/main" count="3949" uniqueCount="916">
  <si>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</si>
  <si>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</si>
  <si>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</si>
  <si>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</si>
  <si>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</si>
  <si>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</si>
  <si>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</si>
  <si>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</si>
  <si>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</si>
  <si>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</si>
  <si>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</si>
  <si>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</si>
  <si>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</si>
  <si>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</si>
  <si>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</si>
  <si>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</si>
  <si>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</si>
  <si>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</si>
  <si>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</si>
  <si>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</si>
  <si>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</si>
  <si>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</si>
  <si>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</si>
  <si>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</si>
  <si>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</si>
  <si>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</si>
  <si>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</si>
  <si>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</si>
  <si>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</si>
  <si>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</si>
  <si>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</si>
  <si>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</si>
  <si>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</si>
  <si>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</si>
  <si>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</si>
  <si>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</si>
  <si>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</si>
  <si>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</si>
  <si>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</si>
  <si>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</si>
  <si>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</si>
  <si>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</si>
  <si>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</si>
  <si>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</si>
  <si>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</si>
  <si>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</si>
  <si>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</si>
  <si>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</si>
  <si>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</si>
  <si>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</si>
  <si>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</si>
  <si>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</si>
  <si>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</si>
  <si>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</si>
  <si>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</si>
  <si>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</si>
  <si>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</si>
  <si>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</si>
  <si>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</si>
  <si>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</si>
  <si>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</si>
  <si>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</si>
  <si>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</si>
  <si>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</si>
  <si>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</si>
  <si>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</si>
  <si>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</si>
  <si>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</si>
  <si>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</si>
  <si>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</si>
  <si>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</si>
  <si>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</si>
  <si>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</si>
  <si>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</si>
  <si>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</si>
  <si>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</si>
  <si>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</si>
  <si>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</si>
  <si>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</si>
  <si>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</si>
  <si>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</si>
  <si>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</si>
  <si>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</si>
  <si>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</si>
  <si>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</si>
  <si>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</si>
  <si>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</si>
  <si>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</si>
  <si>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</si>
  <si>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</si>
  <si>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</si>
  <si>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</si>
  <si>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</si>
  <si>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</si>
  <si>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</si>
  <si>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</si>
  <si>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</si>
  <si>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</si>
  <si>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</si>
  <si>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</si>
  <si>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</si>
  <si>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</si>
  <si>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</si>
  <si>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</si>
  <si>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</si>
  <si>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</si>
  <si>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</si>
  <si>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</si>
  <si>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</si>
  <si>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</si>
  <si>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</si>
  <si>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</si>
  <si>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</si>
  <si>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</si>
  <si>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</si>
  <si>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</si>
  <si>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</si>
  <si>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</si>
  <si>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</si>
  <si>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</si>
  <si>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</si>
  <si>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</si>
  <si>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</si>
  <si>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</si>
  <si>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</si>
  <si>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</si>
  <si>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</si>
  <si>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</si>
  <si>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</si>
  <si>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</si>
  <si>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</si>
  <si>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</si>
  <si>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</si>
  <si>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</si>
  <si>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</si>
  <si>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</si>
  <si>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</si>
  <si>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</si>
  <si>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</si>
  <si>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</si>
  <si>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</si>
  <si>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</si>
  <si>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</si>
  <si>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</si>
  <si>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</si>
  <si>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</si>
  <si>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</si>
  <si>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</si>
  <si>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</si>
  <si>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</si>
  <si>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</si>
  <si>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</si>
  <si>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</si>
  <si>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</si>
  <si>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</si>
  <si>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</si>
  <si>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</si>
  <si>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</si>
  <si>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</si>
  <si>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</si>
  <si>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</si>
  <si>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</si>
  <si>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</si>
  <si>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</si>
  <si>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</si>
  <si>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</si>
  <si>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</si>
  <si>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</si>
  <si>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</si>
  <si>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</si>
  <si>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</si>
  <si>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</si>
  <si>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</si>
  <si>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</si>
  <si>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</si>
  <si>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</si>
  <si>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</si>
  <si>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</si>
  <si>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</si>
  <si>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</si>
  <si>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</si>
  <si>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</si>
  <si>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</si>
  <si>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</si>
  <si>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</si>
  <si>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</si>
  <si>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</si>
  <si>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</si>
  <si>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</si>
  <si>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</si>
  <si>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</si>
  <si>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</si>
  <si>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</si>
  <si>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</si>
  <si>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</si>
  <si>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</si>
  <si>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</si>
  <si>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</si>
  <si>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</si>
  <si>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</si>
  <si>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</si>
  <si>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</si>
  <si>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</si>
  <si>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</si>
  <si>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</si>
  <si>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</si>
  <si>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</si>
  <si>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</si>
  <si>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</si>
  <si>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</si>
  <si>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</si>
  <si>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</si>
  <si>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</si>
  <si>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</si>
  <si>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</si>
  <si>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</si>
  <si>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</si>
  <si>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</si>
  <si>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</si>
  <si>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</si>
  <si>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</si>
  <si>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</si>
  <si>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</si>
  <si>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</si>
  <si>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</si>
  <si>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</si>
  <si>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</si>
  <si>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</si>
  <si>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</si>
  <si>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</si>
  <si>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</si>
  <si>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</si>
  <si>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</si>
  <si>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</si>
  <si>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</si>
  <si>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</si>
  <si>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</si>
  <si>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</si>
  <si>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</si>
  <si>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</si>
  <si>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</si>
  <si>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</si>
  <si>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</si>
  <si>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</si>
  <si>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</si>
  <si>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</si>
  <si>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</si>
  <si>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</si>
  <si>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</si>
  <si>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</si>
  <si>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</si>
  <si>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</si>
  <si>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</si>
  <si>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</si>
  <si>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</si>
  <si>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</si>
  <si>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</si>
  <si>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</si>
  <si>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</si>
  <si>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</si>
  <si>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</si>
  <si>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</si>
  <si>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</si>
  <si>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</si>
  <si>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</si>
  <si>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</si>
  <si>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</si>
  <si>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</si>
  <si>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</si>
  <si>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</si>
  <si>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</si>
  <si>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</si>
  <si>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</si>
  <si>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</si>
  <si>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</si>
  <si>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</si>
  <si>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</si>
  <si>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</si>
  <si>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</si>
  <si>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</si>
  <si>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</si>
  <si>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</si>
  <si>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</si>
  <si>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</si>
  <si>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</si>
  <si>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</si>
  <si>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</si>
  <si>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</si>
  <si>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</si>
  <si>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</si>
  <si>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</si>
  <si>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</si>
  <si>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</si>
  <si>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</si>
  <si>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</si>
  <si>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</si>
  <si>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</si>
  <si>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</si>
  <si>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</si>
  <si>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</si>
  <si>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</si>
  <si>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</si>
  <si>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</si>
  <si>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</si>
  <si>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</si>
  <si>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</si>
  <si>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</si>
  <si>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</si>
  <si>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</si>
  <si>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</si>
  <si>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</si>
  <si>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</si>
  <si>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</si>
  <si>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</si>
  <si>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</si>
  <si>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</si>
  <si>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</si>
  <si>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</si>
  <si>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</si>
  <si>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</si>
  <si>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</si>
  <si>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</si>
  <si>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</si>
  <si>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</si>
  <si>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</si>
  <si>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</si>
  <si>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</si>
  <si>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</si>
  <si>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</si>
  <si>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</si>
  <si>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</si>
  <si>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</si>
  <si>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</si>
  <si>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</si>
  <si>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</si>
  <si>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</si>
  <si>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</si>
  <si>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</si>
  <si>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</si>
  <si>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</si>
  <si>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</si>
  <si>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</si>
  <si>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</si>
  <si>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</si>
  <si>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</si>
  <si>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</si>
  <si>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</si>
  <si>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</si>
  <si>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</si>
  <si>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</si>
  <si>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</si>
  <si>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</si>
  <si>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</si>
  <si>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</si>
  <si>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</si>
  <si>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</si>
  <si>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</si>
  <si>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</si>
  <si>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</si>
  <si>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</si>
  <si>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</si>
  <si>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</si>
  <si>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</si>
  <si>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</si>
  <si>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</si>
  <si>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</si>
  <si>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</si>
  <si>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</si>
  <si>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</si>
  <si>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</si>
  <si>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</si>
  <si>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</si>
  <si>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</si>
  <si>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</si>
  <si>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</si>
  <si>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</si>
  <si>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</si>
  <si>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</si>
  <si>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</si>
  <si>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</si>
  <si>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</si>
  <si>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</si>
  <si>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</si>
  <si>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</si>
  <si>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</si>
  <si>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</si>
  <si>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</si>
  <si>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</si>
  <si>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</si>
  <si>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</si>
  <si>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</si>
  <si>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</si>
  <si>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</si>
  <si>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</si>
  <si>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</si>
  <si>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</si>
  <si>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</si>
  <si>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</si>
  <si>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</si>
  <si>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</si>
  <si>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</si>
  <si>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</si>
  <si>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</si>
  <si>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</si>
  <si>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</si>
  <si>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</si>
  <si>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</si>
  <si>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</si>
  <si>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</si>
  <si>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</si>
  <si>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</si>
  <si>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</si>
  <si>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</si>
  <si>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</si>
  <si>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</si>
  <si>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</si>
  <si>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</si>
  <si>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</si>
  <si>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</si>
  <si>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</si>
  <si>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</si>
  <si>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</si>
  <si>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</si>
  <si>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</si>
  <si>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</si>
  <si>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</si>
  <si>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</si>
  <si>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</si>
  <si>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</si>
  <si>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</si>
  <si>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</si>
  <si>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</si>
  <si>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</si>
  <si>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</si>
  <si>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</si>
  <si>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</si>
  <si>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</si>
  <si>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</si>
  <si>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</si>
  <si>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</si>
  <si>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</si>
  <si>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</si>
  <si>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</si>
  <si>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</si>
  <si>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</si>
  <si>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</si>
  <si>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</si>
  <si>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</si>
  <si>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</si>
  <si>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</si>
  <si>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</si>
  <si>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</si>
  <si>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</si>
  <si>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</si>
  <si>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</si>
  <si>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</si>
  <si>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</si>
  <si>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</si>
  <si>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</si>
  <si>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</si>
  <si>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</si>
  <si>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</si>
  <si>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</si>
  <si>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</si>
  <si>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</si>
  <si>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</si>
  <si>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</si>
  <si>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</si>
  <si>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</si>
  <si>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</si>
  <si>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</si>
  <si>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</si>
  <si>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</si>
  <si>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</si>
  <si>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</si>
  <si>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</si>
  <si>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</si>
  <si>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</si>
  <si>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</si>
  <si>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</si>
  <si>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</si>
  <si>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</si>
  <si>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</si>
  <si>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</si>
  <si>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</si>
  <si>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</si>
  <si>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</si>
  <si>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</si>
  <si>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</si>
  <si>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</si>
  <si>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</si>
  <si>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</si>
  <si>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</si>
  <si>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</si>
  <si>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</si>
  <si>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</si>
  <si>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</si>
  <si>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</si>
  <si>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</si>
  <si>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</si>
  <si>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</si>
  <si>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</si>
  <si>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</si>
  <si>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</si>
  <si>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</si>
  <si>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</si>
  <si>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</si>
  <si>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</si>
  <si>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</si>
  <si>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</si>
  <si>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</si>
  <si>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</si>
  <si>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</si>
  <si>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</si>
  <si>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</si>
  <si>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</si>
  <si>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</si>
  <si>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</si>
  <si>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</si>
  <si>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</si>
  <si>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</si>
  <si>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</si>
  <si>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</si>
  <si>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</si>
  <si>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</si>
  <si>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</si>
  <si>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</si>
  <si>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</si>
  <si>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</si>
  <si>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</si>
  <si>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</si>
  <si>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</si>
  <si>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</si>
  <si>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</si>
  <si>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</si>
  <si>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</si>
  <si>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</si>
  <si>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</si>
  <si>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</si>
  <si>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</si>
  <si>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</si>
  <si>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</si>
  <si>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</si>
  <si>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</si>
  <si>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</si>
  <si>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</si>
  <si>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</si>
  <si>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</si>
  <si>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</si>
  <si>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</si>
  <si>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</si>
  <si>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</si>
  <si>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</si>
  <si>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</si>
  <si>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</si>
  <si>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</si>
  <si>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</si>
  <si>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</si>
  <si>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</si>
  <si>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</si>
  <si>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</si>
  <si>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</si>
  <si>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</si>
  <si>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</si>
  <si>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</si>
  <si>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</si>
  <si>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</si>
  <si>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</si>
  <si>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</si>
  <si>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</si>
  <si>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</si>
  <si>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</si>
  <si>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</si>
  <si>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</si>
  <si>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</si>
  <si>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</si>
  <si>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</si>
  <si>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</si>
  <si>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</si>
  <si>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</si>
  <si>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</si>
  <si>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</si>
  <si>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</si>
  <si>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</si>
  <si>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</si>
  <si>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</si>
  <si>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</si>
  <si>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</si>
  <si>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</si>
  <si>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</si>
  <si>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</si>
  <si>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</si>
  <si>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</si>
  <si>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</si>
  <si>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</si>
  <si>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</si>
  <si>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</si>
  <si>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</si>
  <si>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</si>
  <si>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</si>
  <si>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</si>
  <si>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</si>
  <si>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</si>
  <si>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</si>
  <si>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</si>
  <si>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</si>
  <si>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</si>
  <si>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</si>
  <si>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</si>
  <si>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</si>
  <si>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</si>
  <si>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</si>
  <si>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</si>
  <si>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</si>
  <si>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</si>
  <si>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</si>
  <si>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</si>
  <si>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</si>
  <si>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</si>
  <si>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</si>
  <si>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</si>
  <si>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</si>
  <si>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</si>
  <si>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</si>
  <si>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</si>
  <si>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</si>
  <si>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</si>
  <si>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</si>
  <si>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</si>
  <si>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</si>
  <si>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</si>
  <si>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</si>
  <si>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</si>
  <si>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</si>
  <si>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</si>
  <si>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</si>
  <si>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</si>
  <si>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</si>
  <si>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</si>
  <si>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</si>
  <si>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</si>
  <si>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</si>
  <si>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</si>
  <si>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</si>
  <si>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</si>
  <si>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</si>
  <si>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</si>
  <si>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</si>
  <si>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</si>
  <si>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</si>
  <si>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</si>
  <si>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</si>
  <si>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</si>
  <si>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</si>
  <si>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</si>
  <si>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</si>
  <si>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</si>
  <si>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</si>
  <si>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</si>
  <si>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</si>
  <si>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</si>
  <si>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</si>
  <si>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</si>
  <si>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</si>
  <si>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</si>
  <si>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</si>
  <si>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</si>
  <si>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</si>
  <si>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</si>
  <si>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</si>
  <si>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</si>
  <si>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</si>
  <si>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</si>
  <si>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</si>
  <si>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</si>
  <si>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</si>
  <si>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</si>
  <si>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</si>
  <si>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</si>
  <si>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</si>
  <si>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</si>
  <si>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</si>
  <si>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</si>
  <si>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</si>
  <si>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</si>
  <si>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</si>
  <si>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</si>
  <si>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</si>
  <si>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</si>
  <si>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</si>
  <si>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</si>
  <si>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</si>
  <si>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</si>
  <si>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</si>
  <si>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</si>
  <si>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</si>
  <si>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</si>
  <si>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</si>
  <si>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</si>
  <si>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</si>
  <si>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</si>
  <si>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</si>
  <si>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</si>
  <si>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</si>
  <si>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</si>
  <si>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</si>
  <si>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</si>
  <si>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</si>
  <si>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</si>
  <si>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</si>
  <si>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</si>
  <si>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</si>
  <si>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</si>
  <si>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</si>
  <si>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</si>
  <si>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</si>
  <si>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</si>
  <si>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</si>
  <si>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</si>
  <si>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</si>
  <si>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</si>
  <si>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</si>
  <si>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</si>
  <si>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</si>
  <si>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</si>
  <si>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</si>
  <si>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</si>
  <si>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</si>
  <si>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</si>
  <si>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</si>
  <si>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</si>
  <si>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</si>
  <si>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</si>
  <si>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</si>
  <si>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</si>
  <si>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</si>
  <si>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</si>
  <si>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</si>
  <si>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</si>
  <si>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</si>
  <si>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</si>
  <si>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</si>
  <si>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</si>
  <si>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</si>
  <si>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</si>
  <si>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</si>
  <si>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</si>
  <si>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</si>
  <si>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</si>
  <si>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</si>
  <si>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</si>
  <si>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</si>
  <si>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</si>
  <si>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</si>
  <si>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</si>
  <si>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</si>
  <si>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</si>
  <si>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</si>
  <si>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</si>
  <si>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</si>
  <si>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</si>
  <si>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</si>
  <si>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</si>
  <si>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</si>
  <si>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</si>
  <si>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</si>
  <si>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</si>
  <si>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</si>
  <si>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</si>
  <si>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</si>
  <si>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</si>
  <si>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</si>
  <si>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</si>
  <si>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</si>
  <si>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</si>
  <si>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</si>
  <si>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</si>
  <si>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</si>
  <si>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</si>
  <si>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</si>
  <si>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</si>
  <si>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</si>
  <si>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</si>
  <si>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</si>
  <si>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</si>
  <si>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</si>
  <si>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</si>
  <si>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</si>
  <si>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</si>
  <si>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</si>
  <si>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</si>
  <si>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</si>
  <si>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</si>
  <si>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</si>
  <si>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</si>
  <si>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</si>
  <si>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</si>
  <si>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</si>
  <si>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</si>
  <si>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</si>
  <si>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</si>
  <si>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</si>
  <si>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</si>
  <si>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</si>
  <si>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</si>
  <si>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</si>
  <si>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</si>
  <si>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</si>
  <si>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</si>
  <si>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</si>
  <si>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</si>
  <si>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</si>
  <si>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</si>
  <si>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</si>
  <si>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</si>
  <si>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</si>
  <si>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</si>
  <si>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</si>
  <si>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</si>
  <si>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</si>
  <si>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</si>
  <si>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</si>
  <si>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</si>
  <si>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</si>
  <si>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</si>
  <si>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</si>
  <si>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</si>
  <si>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</si>
  <si>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</si>
  <si>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</si>
  <si>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</si>
  <si>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</si>
  <si>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</si>
  <si>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</si>
  <si>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</si>
  <si>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</si>
  <si>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</si>
  <si>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</si>
  <si>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</si>
  <si>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</si>
  <si>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</si>
  <si>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</si>
  <si>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</si>
  <si>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</si>
  <si>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</si>
  <si>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</si>
  <si>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</si>
  <si>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</si>
  <si>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</si>
  <si>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</si>
  <si>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</si>
  <si>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</si>
  <si>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</si>
  <si>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</si>
  <si>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</si>
  <si>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</si>
  <si>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</si>
  <si>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</si>
  <si>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</si>
  <si>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</si>
  <si>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</si>
  <si>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</si>
  <si>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</si>
  <si>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</si>
  <si>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</si>
  <si>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</si>
  <si>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</si>
  <si>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</si>
  <si>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</si>
  <si>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</si>
  <si>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</si>
  <si>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</si>
  <si>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</si>
  <si>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</si>
  <si>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</si>
  <si>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</si>
  <si>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</si>
  <si>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</si>
  <si>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</si>
  <si>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</si>
  <si>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</si>
  <si>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</si>
  <si>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</si>
  <si>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</si>
  <si>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</si>
  <si>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</si>
  <si>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</si>
  <si>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</si>
  <si>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</si>
  <si>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</si>
  <si>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</si>
  <si>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</si>
  <si>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</si>
  <si>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</si>
  <si>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</si>
  <si>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</si>
  <si>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</si>
  <si>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</si>
  <si>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</si>
  <si>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</si>
  <si>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</si>
  <si>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</si>
  <si>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</si>
  <si>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</si>
  <si>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</si>
  <si>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</si>
  <si>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</si>
  <si>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</si>
  <si>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</si>
  <si>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EDJOBS REVENUE &amp; EXPENDITURES $77224.86 RECORDED UNDER SPECIAL REVENUE FUNDS</t>
  </si>
  <si>
    <t>SEABROOK</t>
  </si>
  <si>
    <t>7/15/2024</t>
  </si>
  <si>
    <t>4/15/2010</t>
  </si>
  <si>
    <t>QZAB BOND ISSUED FOR 2010-11 NOT REPORTED LAST YEAR.</t>
  </si>
  <si>
    <t xml:space="preserve">QZAB BOND INTERESTED IS RECORDED ON THIS FORM AS THE "NET" PAYMENT AFTER REIMBURSEMENT FROM </t>
  </si>
  <si>
    <t>U.S. TREASURY SUBSIDY.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</si>
</sst>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910</v>
      </c>
      <c r="B2" s="21">
        <v>485</v>
      </c>
      <c r="C2" s="21">
        <v>485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711890.82+454.31</f>
        <v>712345.13</v>
      </c>
      <c r="G9" s="18"/>
      <c r="H9" s="18"/>
      <c r="I9" s="18"/>
      <c r="J9" s="67">
        <f>SUM(I438)</f>
        <v>134726.53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67557.02</v>
      </c>
      <c r="G12" s="18">
        <v>54868.26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5717.33</v>
      </c>
      <c r="G13" s="18">
        <v>17880.73</v>
      </c>
      <c r="H13" s="18">
        <v>67557.02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8361.17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793980.65</v>
      </c>
      <c r="G19" s="41">
        <f>SUM(G9:G18)</f>
        <v>72748.990000000005</v>
      </c>
      <c r="H19" s="41">
        <f>SUM(H9:H18)</f>
        <v>67557.02</v>
      </c>
      <c r="I19" s="41">
        <f>SUM(I9:I18)</f>
        <v>0</v>
      </c>
      <c r="J19" s="41">
        <f>SUM(J9:J18)</f>
        <v>134726.53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54868.26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67557.02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124406.91</v>
      </c>
      <c r="G24" s="18">
        <v>377.46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6965.7+532.88+40.1</f>
        <v>7538.68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34509.04+4990.04</f>
        <v>39499.08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46531.12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272844.05</v>
      </c>
      <c r="G32" s="41">
        <f>SUM(G22:G31)</f>
        <v>377.46</v>
      </c>
      <c r="H32" s="41">
        <f>SUM(H22:H31)</f>
        <v>67557.02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72371.53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45000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91944.14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134726.53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384192.46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521136.60000000003</v>
      </c>
      <c r="G50" s="41">
        <f>SUM(G35:G49)</f>
        <v>72371.53</v>
      </c>
      <c r="H50" s="41">
        <f>SUM(H35:H49)</f>
        <v>0</v>
      </c>
      <c r="I50" s="41">
        <f>SUM(I35:I49)</f>
        <v>0</v>
      </c>
      <c r="J50" s="41">
        <f>SUM(J35:J49)</f>
        <v>134726.53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793980.65</v>
      </c>
      <c r="G51" s="41">
        <f>G50+G32</f>
        <v>72748.990000000005</v>
      </c>
      <c r="H51" s="41">
        <f>H50+H32</f>
        <v>67557.02</v>
      </c>
      <c r="I51" s="41">
        <f>I50+I32</f>
        <v>0</v>
      </c>
      <c r="J51" s="41">
        <f>J50+J32</f>
        <v>134726.53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8064784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8064784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4904.78</v>
      </c>
      <c r="G95" s="18"/>
      <c r="H95" s="18"/>
      <c r="I95" s="18"/>
      <c r="J95" s="18">
        <f>575.17+190.09</f>
        <v>765.26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75635.8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8045.46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12950.24</v>
      </c>
      <c r="G110" s="41">
        <f>SUM(G95:G109)</f>
        <v>75635.8</v>
      </c>
      <c r="H110" s="41">
        <f>SUM(H95:H109)</f>
        <v>0</v>
      </c>
      <c r="I110" s="41">
        <f>SUM(I95:I109)</f>
        <v>0</v>
      </c>
      <c r="J110" s="41">
        <f>SUM(J95:J109)</f>
        <v>765.26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8077734.2400000002</v>
      </c>
      <c r="G111" s="41">
        <f>G59+G110</f>
        <v>75635.8</v>
      </c>
      <c r="H111" s="41">
        <f>H59+H78+H93+H110</f>
        <v>0</v>
      </c>
      <c r="I111" s="41">
        <f>I59+I110</f>
        <v>0</v>
      </c>
      <c r="J111" s="41">
        <f>J59+J110</f>
        <v>765.26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901317.07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2332196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780.93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3234294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31100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41414.04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4674.26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72514.040000000008</v>
      </c>
      <c r="G135" s="41">
        <f>SUM(G122:G134)</f>
        <v>4674.26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3306808.04</v>
      </c>
      <c r="G139" s="41">
        <f>G120+SUM(G135:G136)</f>
        <v>4674.26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95845.74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32713.41</v>
      </c>
      <c r="H145" s="18">
        <v>77224.86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95845.74</v>
      </c>
      <c r="G146" s="41">
        <f>SUM(G144:G145)</f>
        <v>32713.41</v>
      </c>
      <c r="H146" s="41">
        <f>SUM(H144:H145)</f>
        <v>77224.86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435903.15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51451.47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137563.77+48846+1665</f>
        <v>188074.77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173465.89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75948.36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17364.04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75948.36</v>
      </c>
      <c r="G161" s="41">
        <f>SUM(G149:G160)</f>
        <v>205438.81</v>
      </c>
      <c r="H161" s="41">
        <f>SUM(H149:H160)</f>
        <v>660820.51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171794.1</v>
      </c>
      <c r="G168" s="41">
        <f>G146+G161+SUM(G162:G167)</f>
        <v>238152.22</v>
      </c>
      <c r="H168" s="41">
        <f>H146+H161+SUM(H162:H167)</f>
        <v>738045.37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45000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45000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45000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11556336.380000001</v>
      </c>
      <c r="G192" s="47">
        <f>G111+G139+G168+G191</f>
        <v>318462.28000000003</v>
      </c>
      <c r="H192" s="47">
        <f>H111+H139+H168+H191</f>
        <v>738045.37</v>
      </c>
      <c r="I192" s="47">
        <f>I111+I139+I168+I191</f>
        <v>0</v>
      </c>
      <c r="J192" s="47">
        <f>J111+J139+J191</f>
        <v>45765.26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2189663.2599999998</v>
      </c>
      <c r="G196" s="18">
        <v>788606.47</v>
      </c>
      <c r="H196" s="18">
        <v>16034.38</v>
      </c>
      <c r="I196" s="18">
        <f>57827.38+1950.32</f>
        <v>59777.7</v>
      </c>
      <c r="J196" s="18">
        <v>4195.76</v>
      </c>
      <c r="K196" s="18">
        <f>316.07+142.16</f>
        <v>458.23</v>
      </c>
      <c r="L196" s="19">
        <f>SUM(F196:K196)</f>
        <v>3058735.7999999993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1250047.38*55%</f>
        <v>687526.05900000001</v>
      </c>
      <c r="G197" s="18">
        <v>195622.58</v>
      </c>
      <c r="H197" s="18">
        <f>259186.04*55%</f>
        <v>142552.32200000001</v>
      </c>
      <c r="I197" s="18">
        <f>1496.58*55%</f>
        <v>823.11900000000003</v>
      </c>
      <c r="J197" s="18">
        <f>745.34*55%</f>
        <v>409.93700000000007</v>
      </c>
      <c r="K197" s="18">
        <f>619*55%</f>
        <v>340.45000000000005</v>
      </c>
      <c r="L197" s="19">
        <f>SUM(F197:K197)</f>
        <v>1027274.4669999999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1604+11312.5</f>
        <v>12916.5</v>
      </c>
      <c r="G199" s="18">
        <v>1068.19</v>
      </c>
      <c r="H199" s="18">
        <v>2700</v>
      </c>
      <c r="I199" s="18"/>
      <c r="J199" s="18"/>
      <c r="K199" s="18"/>
      <c r="L199" s="19">
        <f>SUM(F199:K199)</f>
        <v>16684.690000000002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60853+65882.96+(115883.89*55%)</f>
        <v>190472.09950000001</v>
      </c>
      <c r="G201" s="18">
        <v>67431.990000000005</v>
      </c>
      <c r="H201" s="18">
        <v>350</v>
      </c>
      <c r="I201" s="18">
        <v>1193.19</v>
      </c>
      <c r="J201" s="18"/>
      <c r="K201" s="18"/>
      <c r="L201" s="19">
        <f t="shared" ref="L201:L207" si="0">SUM(F201:K201)</f>
        <v>259447.2795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72214.96+(112016.43*55%)</f>
        <v>133823.99650000001</v>
      </c>
      <c r="G202" s="18">
        <f>11217+39440.47</f>
        <v>50657.47</v>
      </c>
      <c r="H202" s="18">
        <f>10125.56+SUM(5185.35+53247.5)*55%</f>
        <v>42263.627500000002</v>
      </c>
      <c r="I202" s="18">
        <f>13776.38+(39112.23*55%)</f>
        <v>35288.106500000002</v>
      </c>
      <c r="J202" s="18">
        <f>58855.03*55%</f>
        <v>32370.266500000002</v>
      </c>
      <c r="K202" s="18"/>
      <c r="L202" s="19">
        <f t="shared" si="0"/>
        <v>294403.467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27379*55%</f>
        <v>15058.45</v>
      </c>
      <c r="G203" s="18">
        <v>1245.33</v>
      </c>
      <c r="H203" s="18">
        <f>SUM(36411.4+367161)*55%</f>
        <v>221964.82000000004</v>
      </c>
      <c r="I203" s="18"/>
      <c r="J203" s="18"/>
      <c r="K203" s="18">
        <f>5434.43*55%</f>
        <v>2988.9365000000003</v>
      </c>
      <c r="L203" s="19">
        <f t="shared" si="0"/>
        <v>241257.53650000005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161974.03</v>
      </c>
      <c r="G204" s="18">
        <f>55233.07+100+1999.94</f>
        <v>57333.01</v>
      </c>
      <c r="H204" s="18">
        <v>8880.52</v>
      </c>
      <c r="I204" s="18">
        <v>2882.35</v>
      </c>
      <c r="J204" s="18"/>
      <c r="K204" s="18">
        <v>1076</v>
      </c>
      <c r="L204" s="19">
        <f t="shared" si="0"/>
        <v>232145.91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392651.72*55%</f>
        <v>215958.446</v>
      </c>
      <c r="G206" s="18">
        <v>86966.78</v>
      </c>
      <c r="H206" s="18">
        <f>SUM(135517.67+12300+723)*55%</f>
        <v>81697.368500000011</v>
      </c>
      <c r="I206" s="18">
        <f>SUM(213488.17+7497.98)*55%</f>
        <v>121542.38250000002</v>
      </c>
      <c r="J206" s="18">
        <f>SUM(30787.33+4713.73)*55%</f>
        <v>19525.582999999999</v>
      </c>
      <c r="K206" s="18"/>
      <c r="L206" s="19">
        <f t="shared" si="0"/>
        <v>525690.56000000006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4421+SUM(502619.58+144499.04+18342.2)*55%</f>
        <v>370424.451</v>
      </c>
      <c r="I207" s="18"/>
      <c r="J207" s="18"/>
      <c r="K207" s="18"/>
      <c r="L207" s="19">
        <f t="shared" si="0"/>
        <v>370424.451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3607392.8409999995</v>
      </c>
      <c r="G210" s="41">
        <f t="shared" si="1"/>
        <v>1248931.82</v>
      </c>
      <c r="H210" s="41">
        <f t="shared" si="1"/>
        <v>886867.48900000006</v>
      </c>
      <c r="I210" s="41">
        <f t="shared" si="1"/>
        <v>221506.84800000003</v>
      </c>
      <c r="J210" s="41">
        <f t="shared" si="1"/>
        <v>56501.546499999997</v>
      </c>
      <c r="K210" s="41">
        <f t="shared" si="1"/>
        <v>4863.6165000000001</v>
      </c>
      <c r="L210" s="41">
        <f t="shared" si="1"/>
        <v>6026064.1609999994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1502717.38</v>
      </c>
      <c r="G214" s="18">
        <v>568344.89</v>
      </c>
      <c r="H214" s="18">
        <v>16066.07</v>
      </c>
      <c r="I214" s="18">
        <v>55776.05</v>
      </c>
      <c r="J214" s="18">
        <v>8471.82</v>
      </c>
      <c r="K214" s="18"/>
      <c r="L214" s="19">
        <f>SUM(F214:K214)</f>
        <v>2151376.21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1250047.38*45%</f>
        <v>562521.321</v>
      </c>
      <c r="G215" s="18">
        <v>160054.84</v>
      </c>
      <c r="H215" s="18">
        <f>259186.04*45%</f>
        <v>116633.71800000001</v>
      </c>
      <c r="I215" s="18">
        <f>1496.58*45%</f>
        <v>673.46100000000001</v>
      </c>
      <c r="J215" s="18">
        <f>745.34*45%</f>
        <v>335.40300000000002</v>
      </c>
      <c r="K215" s="18">
        <f>619*45%</f>
        <v>278.55</v>
      </c>
      <c r="L215" s="19">
        <f>SUM(F215:K215)</f>
        <v>840497.29300000006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40660.5+17610</f>
        <v>58270.5</v>
      </c>
      <c r="G217" s="18">
        <v>4818.97</v>
      </c>
      <c r="H217" s="18">
        <v>5287.5</v>
      </c>
      <c r="I217" s="18">
        <v>3539.7</v>
      </c>
      <c r="J217" s="18">
        <v>1200</v>
      </c>
      <c r="K217" s="18"/>
      <c r="L217" s="19">
        <f>SUM(F217:K217)</f>
        <v>73116.67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72452.9+62386.92+(115883.89*45%)</f>
        <v>186987.5705</v>
      </c>
      <c r="G219" s="18">
        <v>61421.72</v>
      </c>
      <c r="H219" s="18">
        <v>450</v>
      </c>
      <c r="I219" s="18">
        <v>943.57</v>
      </c>
      <c r="J219" s="18"/>
      <c r="K219" s="18"/>
      <c r="L219" s="19">
        <f t="shared" ref="L219:L225" si="2">SUM(F219:K219)</f>
        <v>249802.86050000001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47776.02+(112016.43*45%)</f>
        <v>98183.413499999995</v>
      </c>
      <c r="G220" s="18">
        <f>23575+30049.6</f>
        <v>53624.6</v>
      </c>
      <c r="H220" s="18">
        <f>13669.73+SUM(5185.35+53247.5)*45%</f>
        <v>39964.512499999997</v>
      </c>
      <c r="I220" s="18">
        <f>9384.1+(39112.23*45%)</f>
        <v>26984.603500000005</v>
      </c>
      <c r="J220" s="18">
        <f>58855.03*45%</f>
        <v>26484.763500000001</v>
      </c>
      <c r="K220" s="18"/>
      <c r="L220" s="19">
        <f t="shared" si="2"/>
        <v>245241.89300000001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27379*45%</f>
        <v>12320.550000000001</v>
      </c>
      <c r="G221" s="18">
        <v>1018.91</v>
      </c>
      <c r="H221" s="18">
        <f>SUM(36411.4+367161)*45%</f>
        <v>181607.58000000002</v>
      </c>
      <c r="I221" s="18"/>
      <c r="J221" s="18"/>
      <c r="K221" s="18">
        <f>5434.43*45%</f>
        <v>2445.4935</v>
      </c>
      <c r="L221" s="19">
        <f t="shared" si="2"/>
        <v>197392.53350000002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235413.17</v>
      </c>
      <c r="G222" s="18">
        <f>114093.49+100+2000</f>
        <v>116193.49</v>
      </c>
      <c r="H222" s="18">
        <v>6237.08</v>
      </c>
      <c r="I222" s="18">
        <v>4450.5600000000004</v>
      </c>
      <c r="J222" s="18"/>
      <c r="K222" s="18">
        <v>2053</v>
      </c>
      <c r="L222" s="19">
        <f t="shared" si="2"/>
        <v>364347.30000000005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392651.72*45%</f>
        <v>176693.274</v>
      </c>
      <c r="G224" s="18">
        <v>71155.199999999997</v>
      </c>
      <c r="H224" s="18">
        <f>SUM(135517.67+12300+723)*45%</f>
        <v>66843.301500000001</v>
      </c>
      <c r="I224" s="18">
        <f>SUM(213488.17+7497.98)*45%</f>
        <v>99443.767500000016</v>
      </c>
      <c r="J224" s="18">
        <f>SUM(30787.33+4713.73)*45%</f>
        <v>15975.476999999999</v>
      </c>
      <c r="K224" s="18"/>
      <c r="L224" s="19">
        <f t="shared" si="2"/>
        <v>430111.02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14886.59+4957.5+SUM(502619.58+144499.04+18342.2)*45%</f>
        <v>319301.45900000003</v>
      </c>
      <c r="I225" s="18"/>
      <c r="J225" s="18"/>
      <c r="K225" s="18"/>
      <c r="L225" s="19">
        <f t="shared" si="2"/>
        <v>319301.45900000003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2833107.1789999995</v>
      </c>
      <c r="G228" s="41">
        <f>SUM(G214:G227)</f>
        <v>1036632.6199999999</v>
      </c>
      <c r="H228" s="41">
        <f>SUM(H214:H227)</f>
        <v>752391.22100000014</v>
      </c>
      <c r="I228" s="41">
        <f>SUM(I214:I227)</f>
        <v>191811.71200000003</v>
      </c>
      <c r="J228" s="41">
        <f>SUM(J214:J227)</f>
        <v>52467.463499999998</v>
      </c>
      <c r="K228" s="41">
        <f t="shared" si="3"/>
        <v>4777.0434999999998</v>
      </c>
      <c r="L228" s="41">
        <f t="shared" si="3"/>
        <v>4871187.2389999991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>
        <f>2570.5+336.63</f>
        <v>2907.13</v>
      </c>
      <c r="I249" s="18">
        <f>9698.58+4786.9+2115.43+11126.06</f>
        <v>27726.97</v>
      </c>
      <c r="J249" s="18"/>
      <c r="K249" s="18"/>
      <c r="L249" s="19">
        <f t="shared" ref="L249:L254" si="6">SUM(F249:K249)</f>
        <v>30634.100000000002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19132.080000000002</v>
      </c>
      <c r="I254" s="18"/>
      <c r="J254" s="18">
        <v>216480</v>
      </c>
      <c r="K254" s="18"/>
      <c r="L254" s="19">
        <f t="shared" si="6"/>
        <v>235612.08000000002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22039.210000000003</v>
      </c>
      <c r="I255" s="41">
        <f t="shared" si="7"/>
        <v>27726.97</v>
      </c>
      <c r="J255" s="41">
        <f t="shared" si="7"/>
        <v>216480</v>
      </c>
      <c r="K255" s="41">
        <f t="shared" si="7"/>
        <v>0</v>
      </c>
      <c r="L255" s="41">
        <f>SUM(F255:K255)</f>
        <v>266246.18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6440500.0199999996</v>
      </c>
      <c r="G256" s="41">
        <f t="shared" si="8"/>
        <v>2285564.44</v>
      </c>
      <c r="H256" s="41">
        <f t="shared" si="8"/>
        <v>1661297.9200000002</v>
      </c>
      <c r="I256" s="41">
        <f t="shared" si="8"/>
        <v>441045.53</v>
      </c>
      <c r="J256" s="41">
        <f t="shared" si="8"/>
        <v>325449.01</v>
      </c>
      <c r="K256" s="41">
        <f t="shared" si="8"/>
        <v>9640.66</v>
      </c>
      <c r="L256" s="41">
        <f t="shared" si="8"/>
        <v>11163497.579999998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95000</v>
      </c>
      <c r="L259" s="19">
        <f>SUM(F259:K259)</f>
        <v>95000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114838.22</v>
      </c>
      <c r="L260" s="19">
        <f>SUM(F260:K260)</f>
        <v>114838.22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45000</v>
      </c>
      <c r="L265" s="19">
        <f t="shared" si="9"/>
        <v>45000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254838.22</v>
      </c>
      <c r="L269" s="41">
        <f t="shared" si="9"/>
        <v>254838.22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6440500.0199999996</v>
      </c>
      <c r="G270" s="42">
        <f t="shared" si="11"/>
        <v>2285564.44</v>
      </c>
      <c r="H270" s="42">
        <f t="shared" si="11"/>
        <v>1661297.9200000002</v>
      </c>
      <c r="I270" s="42">
        <f t="shared" si="11"/>
        <v>441045.53</v>
      </c>
      <c r="J270" s="42">
        <f t="shared" si="11"/>
        <v>325449.01</v>
      </c>
      <c r="K270" s="42">
        <f t="shared" si="11"/>
        <v>264478.88</v>
      </c>
      <c r="L270" s="42">
        <f t="shared" si="11"/>
        <v>11418335.799999999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1500+175.19+6047.5+76290.94+184008.12+6595.2+9750+7559.42</f>
        <v>291926.37</v>
      </c>
      <c r="G275" s="18">
        <f>48200.77-315.39</f>
        <v>47885.38</v>
      </c>
      <c r="H275" s="18">
        <f>50910.61+10500-300</f>
        <v>61110.61</v>
      </c>
      <c r="I275" s="18">
        <f>10112.51-40+0.2</f>
        <v>10072.710000000001</v>
      </c>
      <c r="J275" s="18">
        <v>13279.13</v>
      </c>
      <c r="K275" s="18"/>
      <c r="L275" s="19">
        <f>SUM(F275:K275)</f>
        <v>424274.2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89570.81*55%</f>
        <v>49263.945500000002</v>
      </c>
      <c r="G276" s="18">
        <f>32589.64*55%+9.45</f>
        <v>17933.752</v>
      </c>
      <c r="H276" s="18">
        <f>21571.1*55%+145.85</f>
        <v>12009.955</v>
      </c>
      <c r="I276" s="18">
        <f>22051.6*55%+350</f>
        <v>12478.380000000001</v>
      </c>
      <c r="J276" s="18">
        <f>1869.98*55%+1193.95</f>
        <v>2222.4390000000003</v>
      </c>
      <c r="K276" s="18"/>
      <c r="L276" s="19">
        <f>SUM(F276:K276)</f>
        <v>93908.471500000014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875.28</v>
      </c>
      <c r="G278" s="18">
        <v>66.959999999999994</v>
      </c>
      <c r="H278" s="18"/>
      <c r="I278" s="18"/>
      <c r="J278" s="18"/>
      <c r="K278" s="18"/>
      <c r="L278" s="19">
        <f>SUM(F278:K278)</f>
        <v>942.24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7672.35*55%</f>
        <v>4219.7925000000005</v>
      </c>
      <c r="G280" s="18">
        <f>2481.11*55%</f>
        <v>1364.6105000000002</v>
      </c>
      <c r="H280" s="18"/>
      <c r="I280" s="18"/>
      <c r="J280" s="18"/>
      <c r="K280" s="18"/>
      <c r="L280" s="19">
        <f t="shared" ref="L280:L286" si="12">SUM(F280:K280)</f>
        <v>5584.4030000000002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600</v>
      </c>
      <c r="G281" s="18">
        <v>113.7</v>
      </c>
      <c r="H281" s="18">
        <v>1475.2</v>
      </c>
      <c r="I281" s="18">
        <v>2743.5</v>
      </c>
      <c r="J281" s="18"/>
      <c r="K281" s="18"/>
      <c r="L281" s="19">
        <f t="shared" si="12"/>
        <v>4932.3999999999996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5600.9+7473.33+10.46+26.79+287.12-0.2+2454.41+SUM(122.96+2808.22+3130.39+4009.37)*55%</f>
        <v>21391.826999999997</v>
      </c>
      <c r="L282" s="19">
        <f t="shared" si="12"/>
        <v>21391.826999999997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346885.38800000004</v>
      </c>
      <c r="G289" s="42">
        <f t="shared" si="13"/>
        <v>67364.402499999997</v>
      </c>
      <c r="H289" s="42">
        <f t="shared" si="13"/>
        <v>74595.764999999999</v>
      </c>
      <c r="I289" s="42">
        <f t="shared" si="13"/>
        <v>25294.590000000004</v>
      </c>
      <c r="J289" s="42">
        <f t="shared" si="13"/>
        <v>15501.569</v>
      </c>
      <c r="K289" s="42">
        <f t="shared" si="13"/>
        <v>21391.826999999997</v>
      </c>
      <c r="L289" s="41">
        <f t="shared" si="13"/>
        <v>551033.54150000017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77224.86+2720+670</f>
        <v>80614.86</v>
      </c>
      <c r="G294" s="18">
        <f>208.08+51.26</f>
        <v>259.34000000000003</v>
      </c>
      <c r="H294" s="18">
        <v>20248</v>
      </c>
      <c r="I294" s="18">
        <v>40</v>
      </c>
      <c r="J294" s="18"/>
      <c r="K294" s="18"/>
      <c r="L294" s="19">
        <f>SUM(F294:K294)</f>
        <v>101162.2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89570.81*45%</f>
        <v>40306.864500000003</v>
      </c>
      <c r="G295" s="18">
        <f>32589.64*45%</f>
        <v>14665.338</v>
      </c>
      <c r="H295" s="18">
        <f>21571.1*45%</f>
        <v>9706.994999999999</v>
      </c>
      <c r="I295" s="18">
        <f>22051.6*45%</f>
        <v>9923.2199999999993</v>
      </c>
      <c r="J295" s="18">
        <f>1869.98*45%</f>
        <v>841.49099999999999</v>
      </c>
      <c r="K295" s="18"/>
      <c r="L295" s="19">
        <f>SUM(F295:K295)</f>
        <v>75443.90849999999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7672.35*45%</f>
        <v>3452.5575000000003</v>
      </c>
      <c r="G299" s="18">
        <f>2481.11*45%</f>
        <v>1116.4995000000001</v>
      </c>
      <c r="H299" s="18"/>
      <c r="I299" s="18"/>
      <c r="J299" s="18"/>
      <c r="K299" s="18"/>
      <c r="L299" s="19">
        <f t="shared" ref="L299:L305" si="14">SUM(F299:K299)</f>
        <v>4569.0570000000007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f>884.56+420.18+SUM(122.96+2808.22+3130.39+4009.37)*45%</f>
        <v>5836.6629999999996</v>
      </c>
      <c r="L301" s="19">
        <f t="shared" si="14"/>
        <v>5836.6629999999996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124374.28200000001</v>
      </c>
      <c r="G308" s="42">
        <f t="shared" si="15"/>
        <v>16041.1775</v>
      </c>
      <c r="H308" s="42">
        <f t="shared" si="15"/>
        <v>29954.994999999999</v>
      </c>
      <c r="I308" s="42">
        <f t="shared" si="15"/>
        <v>9963.2199999999993</v>
      </c>
      <c r="J308" s="42">
        <f t="shared" si="15"/>
        <v>841.49099999999999</v>
      </c>
      <c r="K308" s="42">
        <f t="shared" si="15"/>
        <v>5836.6629999999996</v>
      </c>
      <c r="L308" s="41">
        <f t="shared" si="15"/>
        <v>187011.82849999997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471259.67000000004</v>
      </c>
      <c r="G337" s="41">
        <f t="shared" si="20"/>
        <v>83405.58</v>
      </c>
      <c r="H337" s="41">
        <f t="shared" si="20"/>
        <v>104550.76</v>
      </c>
      <c r="I337" s="41">
        <f t="shared" si="20"/>
        <v>35257.810000000005</v>
      </c>
      <c r="J337" s="41">
        <f t="shared" si="20"/>
        <v>16343.06</v>
      </c>
      <c r="K337" s="41">
        <f t="shared" si="20"/>
        <v>27228.489999999998</v>
      </c>
      <c r="L337" s="41">
        <f t="shared" si="20"/>
        <v>738045.37000000011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471259.67000000004</v>
      </c>
      <c r="G351" s="41">
        <f>G337</f>
        <v>83405.58</v>
      </c>
      <c r="H351" s="41">
        <f>H337</f>
        <v>104550.76</v>
      </c>
      <c r="I351" s="41">
        <f>I337</f>
        <v>35257.810000000005</v>
      </c>
      <c r="J351" s="41">
        <f>J337</f>
        <v>16343.06</v>
      </c>
      <c r="K351" s="47">
        <f>K337+K350</f>
        <v>27228.489999999998</v>
      </c>
      <c r="L351" s="41">
        <f>L337+L350</f>
        <v>738045.37000000011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166998.41*55%</f>
        <v>91849.125500000009</v>
      </c>
      <c r="G357" s="18">
        <f>701.62*55%</f>
        <v>385.89100000000002</v>
      </c>
      <c r="H357" s="18">
        <f>1900.1*55%</f>
        <v>1045.0550000000001</v>
      </c>
      <c r="I357" s="18">
        <f>148860.14*55%</f>
        <v>81873.077000000019</v>
      </c>
      <c r="J357" s="18">
        <f>1420.4*55%</f>
        <v>781.22000000000014</v>
      </c>
      <c r="K357" s="18">
        <f>2129.71*55%</f>
        <v>1171.3405</v>
      </c>
      <c r="L357" s="13">
        <f>SUM(F357:K357)</f>
        <v>177105.709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166998.41*45%</f>
        <v>75149.284500000009</v>
      </c>
      <c r="G358" s="18">
        <f>701.62*45%</f>
        <v>315.72899999999998</v>
      </c>
      <c r="H358" s="18">
        <f>1900.1*45%</f>
        <v>855.04499999999996</v>
      </c>
      <c r="I358" s="18">
        <f>148860.14*45%</f>
        <v>66987.063000000009</v>
      </c>
      <c r="J358" s="18">
        <f>1420.4*45%</f>
        <v>639.18000000000006</v>
      </c>
      <c r="K358" s="18">
        <f>2129.71*45%</f>
        <v>958.36950000000002</v>
      </c>
      <c r="L358" s="19">
        <f>SUM(F358:K358)</f>
        <v>144904.671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166998.41000000003</v>
      </c>
      <c r="G361" s="47">
        <f t="shared" si="22"/>
        <v>701.62</v>
      </c>
      <c r="H361" s="47">
        <f t="shared" si="22"/>
        <v>1900.1</v>
      </c>
      <c r="I361" s="47">
        <f t="shared" si="22"/>
        <v>148860.14000000001</v>
      </c>
      <c r="J361" s="47">
        <f t="shared" si="22"/>
        <v>1420.4</v>
      </c>
      <c r="K361" s="47">
        <f t="shared" si="22"/>
        <v>2129.71</v>
      </c>
      <c r="L361" s="47">
        <f t="shared" si="22"/>
        <v>322010.38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142895.61*55%</f>
        <v>78592.585500000001</v>
      </c>
      <c r="G366" s="18">
        <f>142895.61*45%</f>
        <v>64303.024499999992</v>
      </c>
      <c r="H366" s="18"/>
      <c r="I366" s="56">
        <f>SUM(F366:H366)</f>
        <v>142895.60999999999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f>5964.53*55%</f>
        <v>3280.4915000000001</v>
      </c>
      <c r="G367" s="18">
        <f>5964.53*45%</f>
        <v>2684.0385000000001</v>
      </c>
      <c r="H367" s="63"/>
      <c r="I367" s="56">
        <f>SUM(F367:H367)</f>
        <v>5964.5300000000007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81873.077000000005</v>
      </c>
      <c r="G368" s="47">
        <f>SUM(G366:G367)</f>
        <v>66987.062999999995</v>
      </c>
      <c r="H368" s="47">
        <f>SUM(H366:H367)</f>
        <v>0</v>
      </c>
      <c r="I368" s="47">
        <f>SUM(I366:I367)</f>
        <v>148860.13999999998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>
        <v>190.09</v>
      </c>
      <c r="I395" s="18"/>
      <c r="J395" s="24" t="s">
        <v>289</v>
      </c>
      <c r="K395" s="24" t="s">
        <v>289</v>
      </c>
      <c r="L395" s="56">
        <f t="shared" si="26"/>
        <v>25190.09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>
        <v>575.16999999999996</v>
      </c>
      <c r="I396" s="18"/>
      <c r="J396" s="24" t="s">
        <v>289</v>
      </c>
      <c r="K396" s="24" t="s">
        <v>289</v>
      </c>
      <c r="L396" s="56">
        <f t="shared" si="26"/>
        <v>20575.169999999998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45000</v>
      </c>
      <c r="H400" s="47">
        <f>SUM(H394:H399)</f>
        <v>765.26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45765.259999999995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45000</v>
      </c>
      <c r="H407" s="47">
        <f>H392+H400+H406</f>
        <v>765.26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45765.259999999995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16920</v>
      </c>
      <c r="I421" s="18"/>
      <c r="J421" s="18"/>
      <c r="K421" s="18"/>
      <c r="L421" s="56">
        <f t="shared" si="29"/>
        <v>16920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16920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16920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16920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16920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101440.55+33285.98</f>
        <v>134726.53</v>
      </c>
      <c r="H438" s="18"/>
      <c r="I438" s="56">
        <f t="shared" ref="I438:I444" si="33">SUM(F438:H438)</f>
        <v>134726.53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134726.53</v>
      </c>
      <c r="H445" s="13">
        <f>SUM(H438:H444)</f>
        <v>0</v>
      </c>
      <c r="I445" s="13">
        <f>SUM(I438:I444)</f>
        <v>134726.53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134726.53</v>
      </c>
      <c r="H458" s="18"/>
      <c r="I458" s="56">
        <f t="shared" si="34"/>
        <v>134726.53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134726.53</v>
      </c>
      <c r="H459" s="83">
        <f>SUM(H453:H458)</f>
        <v>0</v>
      </c>
      <c r="I459" s="83">
        <f>SUM(I453:I458)</f>
        <v>134726.53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134726.53</v>
      </c>
      <c r="H460" s="42">
        <f>H451+H459</f>
        <v>0</v>
      </c>
      <c r="I460" s="42">
        <f>I451+I459</f>
        <v>134726.53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383136.02</v>
      </c>
      <c r="G464" s="18">
        <v>75919.63</v>
      </c>
      <c r="H464" s="18"/>
      <c r="I464" s="18"/>
      <c r="J464" s="18">
        <v>105881.27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11556336.380000001</v>
      </c>
      <c r="G467" s="18">
        <v>318462.28000000003</v>
      </c>
      <c r="H467" s="18">
        <v>738045.37</v>
      </c>
      <c r="I467" s="18"/>
      <c r="J467" s="18">
        <f>45000+575.17+190.09</f>
        <v>45765.259999999995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11556336.380000001</v>
      </c>
      <c r="G469" s="53">
        <f>SUM(G467:G468)</f>
        <v>318462.28000000003</v>
      </c>
      <c r="H469" s="53">
        <f>SUM(H467:H468)</f>
        <v>738045.37</v>
      </c>
      <c r="I469" s="53">
        <f>SUM(I467:I468)</f>
        <v>0</v>
      </c>
      <c r="J469" s="53">
        <f>SUM(J467:J468)</f>
        <v>45765.259999999995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11418335.800000001</v>
      </c>
      <c r="G471" s="18">
        <v>322010.38</v>
      </c>
      <c r="H471" s="18">
        <v>738045.37</v>
      </c>
      <c r="I471" s="18"/>
      <c r="J471" s="18">
        <v>16920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11418335.800000001</v>
      </c>
      <c r="G473" s="53">
        <f>SUM(G471:G472)</f>
        <v>322010.38</v>
      </c>
      <c r="H473" s="53">
        <f>SUM(H471:H472)</f>
        <v>738045.37</v>
      </c>
      <c r="I473" s="53">
        <f>SUM(I471:I472)</f>
        <v>0</v>
      </c>
      <c r="J473" s="53">
        <f>SUM(J471:J472)</f>
        <v>16920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521136.59999999963</v>
      </c>
      <c r="G475" s="53">
        <f>(G464+G469)- G473</f>
        <v>72371.530000000028</v>
      </c>
      <c r="H475" s="53">
        <f>(H464+H469)- H473</f>
        <v>0</v>
      </c>
      <c r="I475" s="53">
        <f>(I464+I469)- I473</f>
        <v>0</v>
      </c>
      <c r="J475" s="53">
        <f>(J464+J469)- J473</f>
        <v>134726.53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912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1780093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1.26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1588093</v>
      </c>
      <c r="G494" s="18"/>
      <c r="H494" s="18"/>
      <c r="I494" s="18"/>
      <c r="J494" s="18"/>
      <c r="K494" s="53">
        <f>SUM(F494:J494)</f>
        <v>1588093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95000+59918.11+56536.11-49314.62-46531.12</f>
        <v>115608.47999999998</v>
      </c>
      <c r="G496" s="18"/>
      <c r="H496" s="18"/>
      <c r="I496" s="18"/>
      <c r="J496" s="18"/>
      <c r="K496" s="53">
        <f t="shared" si="35"/>
        <v>115608.47999999998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1488093</v>
      </c>
      <c r="G497" s="205"/>
      <c r="H497" s="205"/>
      <c r="I497" s="205"/>
      <c r="J497" s="205"/>
      <c r="K497" s="206">
        <f t="shared" si="35"/>
        <v>1488093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137401.59</v>
      </c>
      <c r="G498" s="18"/>
      <c r="H498" s="18"/>
      <c r="I498" s="18"/>
      <c r="J498" s="18"/>
      <c r="K498" s="53">
        <f t="shared" si="35"/>
        <v>137401.59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1625494.59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1625494.59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100000</v>
      </c>
      <c r="G500" s="205"/>
      <c r="H500" s="205"/>
      <c r="I500" s="205"/>
      <c r="J500" s="205"/>
      <c r="K500" s="206">
        <f t="shared" si="35"/>
        <v>100000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56536.11+52976.11-46531.12-43601.12</f>
        <v>19379.979999999996</v>
      </c>
      <c r="G501" s="18"/>
      <c r="H501" s="18"/>
      <c r="I501" s="18"/>
      <c r="J501" s="18"/>
      <c r="K501" s="53">
        <f t="shared" si="35"/>
        <v>19379.979999999996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119379.98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119379.98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SUM(545027.83+403272.44+89570.81)*55%</f>
        <v>570829.09400000004</v>
      </c>
      <c r="G520" s="18">
        <f>SUM(116085.23+19141.33+94978.82+15661.09+32589.64)*55%+9.45</f>
        <v>153160.31050000002</v>
      </c>
      <c r="H520" s="18">
        <f>SUM(259186.04+21571.1)*55%+145.85</f>
        <v>154562.27700000003</v>
      </c>
      <c r="I520" s="18">
        <f>SUM(1496.58+22051.6)*55%+350</f>
        <v>13301.499000000002</v>
      </c>
      <c r="J520" s="18">
        <f>SUM(745.34+599.63+1270.35)*55%+1193.95</f>
        <v>2632.3760000000002</v>
      </c>
      <c r="K520" s="18"/>
      <c r="L520" s="88">
        <f>SUM(F520:K520)</f>
        <v>894485.55650000006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SUM(545027.83+403272.44+89570.81)*45%</f>
        <v>467041.98600000003</v>
      </c>
      <c r="G521" s="18">
        <f>SUM(116085.23+19141.33+94978.82+15661.09+32589.64)*45%</f>
        <v>125305.24949999999</v>
      </c>
      <c r="H521" s="18">
        <f>SUM(259186.04+21571.1)*45%</f>
        <v>126340.713</v>
      </c>
      <c r="I521" s="18">
        <f>SUM(1496.58+22051.6)*45%</f>
        <v>10596.681</v>
      </c>
      <c r="J521" s="18">
        <f>SUM(745.34+599.63+1270.35)*45%</f>
        <v>1176.894</v>
      </c>
      <c r="K521" s="18"/>
      <c r="L521" s="88">
        <f>SUM(F521:K521)</f>
        <v>730461.52350000001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1037871.0800000001</v>
      </c>
      <c r="G523" s="108">
        <f t="shared" ref="G523:L523" si="36">SUM(G520:G522)</f>
        <v>278465.56</v>
      </c>
      <c r="H523" s="108">
        <f t="shared" si="36"/>
        <v>280902.99000000005</v>
      </c>
      <c r="I523" s="108">
        <f t="shared" si="36"/>
        <v>23898.18</v>
      </c>
      <c r="J523" s="108">
        <f t="shared" si="36"/>
        <v>3809.2700000000004</v>
      </c>
      <c r="K523" s="108">
        <f t="shared" si="36"/>
        <v>0</v>
      </c>
      <c r="L523" s="89">
        <f t="shared" si="36"/>
        <v>1624947.08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63736.14+101787.65</f>
        <v>165523.78999999998</v>
      </c>
      <c r="G525" s="18">
        <f>27704.41+42623.43</f>
        <v>70327.839999999997</v>
      </c>
      <c r="H525" s="18"/>
      <c r="I525" s="18"/>
      <c r="J525" s="18"/>
      <c r="K525" s="18"/>
      <c r="L525" s="88">
        <f>SUM(F525:K525)</f>
        <v>235851.62999999998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52147.75+83280.81</f>
        <v>135428.56</v>
      </c>
      <c r="G526" s="18">
        <f>22667.25+34873.71</f>
        <v>57540.959999999999</v>
      </c>
      <c r="H526" s="18"/>
      <c r="I526" s="18"/>
      <c r="J526" s="18"/>
      <c r="K526" s="18"/>
      <c r="L526" s="88">
        <f>SUM(F526:K526)</f>
        <v>192969.52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300952.34999999998</v>
      </c>
      <c r="G528" s="89">
        <f t="shared" ref="G528:L528" si="37">SUM(G525:G527)</f>
        <v>127868.79999999999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428821.14999999997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64173.26</v>
      </c>
      <c r="G530" s="18">
        <f>13294.96+4477.64</f>
        <v>17772.599999999999</v>
      </c>
      <c r="H530" s="18"/>
      <c r="I530" s="18"/>
      <c r="J530" s="18"/>
      <c r="K530" s="18">
        <f>SUM(619+10070.94)*55%+313.91</f>
        <v>6193.3770000000004</v>
      </c>
      <c r="L530" s="88">
        <f>SUM(F530:K530)</f>
        <v>88139.236999999994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52505.39</v>
      </c>
      <c r="G531" s="18">
        <f>10877.7+3663.52</f>
        <v>14541.220000000001</v>
      </c>
      <c r="H531" s="18"/>
      <c r="I531" s="18"/>
      <c r="J531" s="18"/>
      <c r="K531" s="18">
        <f>SUM(619+10070.94)*45%</f>
        <v>4810.473</v>
      </c>
      <c r="L531" s="88">
        <f>SUM(F531:K531)</f>
        <v>71857.082999999999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116678.65</v>
      </c>
      <c r="G533" s="89">
        <f t="shared" ref="G533:L533" si="38">SUM(G530:G532)</f>
        <v>32313.82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11003.85</v>
      </c>
      <c r="L533" s="89">
        <f t="shared" si="38"/>
        <v>159996.32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144499.04*55%</f>
        <v>79474.472000000009</v>
      </c>
      <c r="I540" s="18"/>
      <c r="J540" s="18"/>
      <c r="K540" s="18"/>
      <c r="L540" s="88">
        <f>SUM(F540:K540)</f>
        <v>79474.472000000009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144499.04*45%</f>
        <v>65024.568000000007</v>
      </c>
      <c r="I541" s="18"/>
      <c r="J541" s="18"/>
      <c r="K541" s="18"/>
      <c r="L541" s="88">
        <f>SUM(F541:K541)</f>
        <v>65024.568000000007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144499.04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144499.04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1455502.08</v>
      </c>
      <c r="G544" s="89">
        <f t="shared" ref="G544:L544" si="41">G523+G528+G533+G538+G543</f>
        <v>438648.18</v>
      </c>
      <c r="H544" s="89">
        <f t="shared" si="41"/>
        <v>425402.03</v>
      </c>
      <c r="I544" s="89">
        <f t="shared" si="41"/>
        <v>23898.18</v>
      </c>
      <c r="J544" s="89">
        <f t="shared" si="41"/>
        <v>3809.2700000000004</v>
      </c>
      <c r="K544" s="89">
        <f t="shared" si="41"/>
        <v>11003.85</v>
      </c>
      <c r="L544" s="89">
        <f t="shared" si="41"/>
        <v>2358263.59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894485.55650000006</v>
      </c>
      <c r="G548" s="87">
        <f>L525</f>
        <v>235851.62999999998</v>
      </c>
      <c r="H548" s="87">
        <f>L530</f>
        <v>88139.236999999994</v>
      </c>
      <c r="I548" s="87">
        <f>L535</f>
        <v>0</v>
      </c>
      <c r="J548" s="87">
        <f>L540</f>
        <v>79474.472000000009</v>
      </c>
      <c r="K548" s="87">
        <f>SUM(F548:J548)</f>
        <v>1297950.8955000001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730461.52350000001</v>
      </c>
      <c r="G549" s="87">
        <f>L526</f>
        <v>192969.52</v>
      </c>
      <c r="H549" s="87">
        <f>L531</f>
        <v>71857.082999999999</v>
      </c>
      <c r="I549" s="87">
        <f>L536</f>
        <v>0</v>
      </c>
      <c r="J549" s="87">
        <f>L541</f>
        <v>65024.568000000007</v>
      </c>
      <c r="K549" s="87">
        <f>SUM(F549:J549)</f>
        <v>1060312.6945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1624947.08</v>
      </c>
      <c r="G551" s="89">
        <f t="shared" si="42"/>
        <v>428821.14999999997</v>
      </c>
      <c r="H551" s="89">
        <f t="shared" si="42"/>
        <v>159996.32</v>
      </c>
      <c r="I551" s="89">
        <f t="shared" si="42"/>
        <v>0</v>
      </c>
      <c r="J551" s="89">
        <f t="shared" si="42"/>
        <v>144499.04</v>
      </c>
      <c r="K551" s="89">
        <f t="shared" si="42"/>
        <v>2358263.59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88665.24</v>
      </c>
      <c r="G581" s="18">
        <v>83363.06</v>
      </c>
      <c r="H581" s="18"/>
      <c r="I581" s="87">
        <f t="shared" si="47"/>
        <v>172028.3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502619.58*55%</f>
        <v>276440.76900000003</v>
      </c>
      <c r="I590" s="18">
        <f>502619.58*45%</f>
        <v>226178.81100000002</v>
      </c>
      <c r="J590" s="18"/>
      <c r="K590" s="104">
        <f t="shared" ref="K590:K596" si="48">SUM(H590:J590)</f>
        <v>502619.58000000007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144499.04*55%</f>
        <v>79474.472000000009</v>
      </c>
      <c r="I591" s="18">
        <f>144499.04*45%</f>
        <v>65024.568000000007</v>
      </c>
      <c r="J591" s="18"/>
      <c r="K591" s="104">
        <f t="shared" si="48"/>
        <v>144499.04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14886.59</v>
      </c>
      <c r="J593" s="18"/>
      <c r="K593" s="104">
        <f t="shared" si="48"/>
        <v>14886.59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4421</v>
      </c>
      <c r="I594" s="18">
        <v>4957.5</v>
      </c>
      <c r="J594" s="18"/>
      <c r="K594" s="104">
        <f t="shared" si="48"/>
        <v>9378.5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18342.2*55%</f>
        <v>10088.210000000001</v>
      </c>
      <c r="I596" s="18">
        <f>18342.2*45%</f>
        <v>8253.99</v>
      </c>
      <c r="J596" s="18"/>
      <c r="K596" s="104">
        <f t="shared" si="48"/>
        <v>18342.2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370424.45100000006</v>
      </c>
      <c r="I597" s="108">
        <f>SUM(I590:I596)</f>
        <v>319301.45900000003</v>
      </c>
      <c r="J597" s="108">
        <f>SUM(J590:J596)</f>
        <v>0</v>
      </c>
      <c r="K597" s="108">
        <f>SUM(K590:K596)</f>
        <v>689725.91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f>7000*55%</f>
        <v>3850.0000000000005</v>
      </c>
      <c r="I602" s="18">
        <f>7000*45%</f>
        <v>3150</v>
      </c>
      <c r="J602" s="18"/>
      <c r="K602" s="104">
        <f>SUM(H602:J602)</f>
        <v>7000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4195.76+SUM(745.34+58855.03+9999.87+13787.46+4713.73+599.63+1270.35)*55%+14473.08</f>
        <v>68153.1155</v>
      </c>
      <c r="I603" s="18">
        <f>9671.82+SUM(745.34+58855.03+9999.87+13787.46+4713.73+599.63+1270.35)*45%</f>
        <v>50158.954499999993</v>
      </c>
      <c r="J603" s="18"/>
      <c r="K603" s="104">
        <f>SUM(H603:J603)</f>
        <v>118312.06999999999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72003.1155</v>
      </c>
      <c r="I604" s="108">
        <f>SUM(I601:I603)</f>
        <v>53308.954499999993</v>
      </c>
      <c r="J604" s="108">
        <f>SUM(J601:J603)</f>
        <v>0</v>
      </c>
      <c r="K604" s="108">
        <f>SUM(K601:K603)</f>
        <v>125312.06999999999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11312.5</v>
      </c>
      <c r="G610" s="18"/>
      <c r="H610" s="18"/>
      <c r="I610" s="18"/>
      <c r="J610" s="18"/>
      <c r="K610" s="18"/>
      <c r="L610" s="88">
        <f>SUM(F610:K610)</f>
        <v>11312.5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17610</v>
      </c>
      <c r="G611" s="18"/>
      <c r="H611" s="18"/>
      <c r="I611" s="18"/>
      <c r="J611" s="18"/>
      <c r="K611" s="18"/>
      <c r="L611" s="88">
        <f>SUM(F611:K611)</f>
        <v>17610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28922.5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28922.5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793980.65</v>
      </c>
      <c r="H616" s="109">
        <f>SUM(F51)</f>
        <v>793980.65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72748.990000000005</v>
      </c>
      <c r="H617" s="109">
        <f>SUM(G51)</f>
        <v>72748.990000000005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67557.02</v>
      </c>
      <c r="H618" s="109">
        <f>SUM(H51)</f>
        <v>67557.02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134726.53</v>
      </c>
      <c r="H620" s="109">
        <f>SUM(J51)</f>
        <v>134726.53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521136.60000000003</v>
      </c>
      <c r="H621" s="109">
        <f>F475</f>
        <v>521136.59999999963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72371.53</v>
      </c>
      <c r="H622" s="109">
        <f>G475</f>
        <v>72371.530000000028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134726.53</v>
      </c>
      <c r="H625" s="109">
        <f>J475</f>
        <v>134726.53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11556336.380000001</v>
      </c>
      <c r="H626" s="104">
        <f>SUM(F467)</f>
        <v>11556336.380000001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318462.28000000003</v>
      </c>
      <c r="H627" s="104">
        <f>SUM(G467)</f>
        <v>318462.28000000003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738045.37</v>
      </c>
      <c r="H628" s="104">
        <f>SUM(H467)</f>
        <v>738045.37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45765.26</v>
      </c>
      <c r="H630" s="104">
        <f>SUM(J467)</f>
        <v>45765.259999999995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11418335.799999999</v>
      </c>
      <c r="H631" s="104">
        <f>SUM(F471)</f>
        <v>11418335.800000001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738045.37000000011</v>
      </c>
      <c r="H632" s="104">
        <f>SUM(H471)</f>
        <v>738045.37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148860.14000000001</v>
      </c>
      <c r="H633" s="104">
        <f>I368</f>
        <v>148860.13999999998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322010.38</v>
      </c>
      <c r="H634" s="104">
        <f>SUM(G471)</f>
        <v>322010.38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45765.259999999995</v>
      </c>
      <c r="H636" s="164">
        <f>SUM(J467)</f>
        <v>45765.259999999995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16920</v>
      </c>
      <c r="H637" s="164">
        <f>SUM(J471)</f>
        <v>16920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134726.53</v>
      </c>
      <c r="H639" s="104">
        <f>SUM(G460)</f>
        <v>134726.53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134726.53</v>
      </c>
      <c r="H641" s="104">
        <f>SUM(I460)</f>
        <v>134726.53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765.26</v>
      </c>
      <c r="H643" s="104">
        <f>H407</f>
        <v>765.26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45000</v>
      </c>
      <c r="H644" s="104">
        <f>G407</f>
        <v>45000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45765.26</v>
      </c>
      <c r="H645" s="104">
        <f>L407</f>
        <v>45765.259999999995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689725.91</v>
      </c>
      <c r="H646" s="104">
        <f>L207+L225+L243</f>
        <v>689725.91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125312.06999999999</v>
      </c>
      <c r="H647" s="104">
        <f>(J256+J337)-(J254+J335)</f>
        <v>125312.07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370424.451</v>
      </c>
      <c r="H648" s="104">
        <f>H597</f>
        <v>370424.45100000006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319301.45900000003</v>
      </c>
      <c r="H649" s="104">
        <f>I597</f>
        <v>319301.45900000003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45000</v>
      </c>
      <c r="H654" s="104">
        <f>K265+K346</f>
        <v>45000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6754203.4114999995</v>
      </c>
      <c r="G659" s="19">
        <f>(L228+L308+L358)</f>
        <v>5203103.738499999</v>
      </c>
      <c r="H659" s="19">
        <f>(L246+L327+L359)</f>
        <v>0</v>
      </c>
      <c r="I659" s="19">
        <f>SUM(F659:H659)</f>
        <v>11957307.149999999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41599.69</v>
      </c>
      <c r="G660" s="19">
        <f>(L358/IF(SUM(L357:L359)=0,1,SUM(L357:L359))*(SUM(G96:G109)))</f>
        <v>34036.11</v>
      </c>
      <c r="H660" s="19">
        <f>(L359/IF(SUM(L357:L359)=0,1,SUM(L357:L359))*(SUM(G96:G109)))</f>
        <v>0</v>
      </c>
      <c r="I660" s="19">
        <f>SUM(F660:H660)</f>
        <v>75635.8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370424.451</v>
      </c>
      <c r="G661" s="19">
        <f>(L225+L305)-(J225+J305)</f>
        <v>319301.45900000003</v>
      </c>
      <c r="H661" s="19">
        <f>(L243+L324)-(J243+J324)</f>
        <v>0</v>
      </c>
      <c r="I661" s="19">
        <f>SUM(F661:H661)</f>
        <v>689725.91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171980.85550000001</v>
      </c>
      <c r="G662" s="200">
        <f>SUM(G574:G586)+SUM(I601:I603)+L611</f>
        <v>154282.01449999999</v>
      </c>
      <c r="H662" s="200">
        <f>SUM(H574:H586)+SUM(J601:J603)+L612</f>
        <v>0</v>
      </c>
      <c r="I662" s="19">
        <f>SUM(F662:H662)</f>
        <v>326262.87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6170198.4149999991</v>
      </c>
      <c r="G663" s="19">
        <f>G659-SUM(G660:G662)</f>
        <v>4695484.1549999993</v>
      </c>
      <c r="H663" s="19">
        <f>H659-SUM(H660:H662)</f>
        <v>0</v>
      </c>
      <c r="I663" s="19">
        <f>I659-SUM(I660:I662)</f>
        <v>10865682.569999998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335.45</v>
      </c>
      <c r="G664" s="249">
        <v>317.44</v>
      </c>
      <c r="H664" s="249"/>
      <c r="I664" s="19">
        <f>SUM(F664:H664)</f>
        <v>652.89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18393.79</v>
      </c>
      <c r="G666" s="19">
        <f>ROUND(G663/G664,2)</f>
        <v>14791.72</v>
      </c>
      <c r="H666" s="19" t="e">
        <f>ROUND(H663/H664,2)</f>
        <v>#DIV/0!</v>
      </c>
      <c r="I666" s="19">
        <f>ROUND(I663/I664,2)</f>
        <v>16642.439999999999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18393.79</v>
      </c>
      <c r="G671" s="19">
        <f>ROUND((G663+G668)/(G664+G669),2)</f>
        <v>14791.72</v>
      </c>
      <c r="H671" s="19" t="e">
        <f>ROUND((H663+H668)/(H664+H669),2)</f>
        <v>#DIV/0!</v>
      </c>
      <c r="I671" s="19">
        <f>ROUND((I663+I668)/(I664+I669),2)</f>
        <v>16642.439999999999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SEABROOK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4064921.8699999996</v>
      </c>
      <c r="C9" s="230">
        <f>'DOE25'!G196+'DOE25'!G214+'DOE25'!G232+'DOE25'!G275+'DOE25'!G294+'DOE25'!G313</f>
        <v>1405096.0799999998</v>
      </c>
    </row>
    <row r="10" spans="1:3" x14ac:dyDescent="0.2">
      <c r="A10" t="s">
        <v>779</v>
      </c>
      <c r="B10" s="241">
        <f>1951286.26+1380532.15+65883+76290.94+9750</f>
        <v>3483742.35</v>
      </c>
      <c r="C10" s="241">
        <f>557993.35+768477.69+561.07+915.89+28465.44-661</f>
        <v>1355752.44</v>
      </c>
    </row>
    <row r="11" spans="1:3" x14ac:dyDescent="0.2">
      <c r="A11" t="s">
        <v>780</v>
      </c>
      <c r="B11" s="241">
        <f>78125.77+37154.93+67035.97+1525+11341.86+1500+184008.12+7559.42</f>
        <v>388251.07</v>
      </c>
      <c r="C11" s="241">
        <f>5916.81+9948.72+1597.92+711.89+15219.27</f>
        <v>33394.61</v>
      </c>
    </row>
    <row r="12" spans="1:3" x14ac:dyDescent="0.2">
      <c r="A12" t="s">
        <v>781</v>
      </c>
      <c r="B12" s="241">
        <f>123096.3+53624.26+175.19+2720+6047.5+6595.2+670</f>
        <v>192928.45</v>
      </c>
      <c r="C12" s="241">
        <f>4434.73+10180.06+208.08+51.26+1074.9</f>
        <v>15949.029999999999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4064921.87</v>
      </c>
      <c r="C13" s="232">
        <f>SUM(C10:C12)</f>
        <v>1405096.08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1339618.1899999997</v>
      </c>
      <c r="C18" s="230">
        <f>'DOE25'!G197+'DOE25'!G215+'DOE25'!G233+'DOE25'!G276+'DOE25'!G295+'DOE25'!G314</f>
        <v>388276.50999999995</v>
      </c>
    </row>
    <row r="19" spans="1:3" x14ac:dyDescent="0.2">
      <c r="A19" t="s">
        <v>779</v>
      </c>
      <c r="B19" s="241">
        <f>545027.83+185068.46+53372.8-0.14</f>
        <v>783468.95</v>
      </c>
      <c r="C19" s="241">
        <f>158708.65+129852.54+561.07+28696.14+0.13</f>
        <v>317818.53000000003</v>
      </c>
    </row>
    <row r="20" spans="1:3" x14ac:dyDescent="0.2">
      <c r="A20" t="s">
        <v>780</v>
      </c>
      <c r="B20" s="241">
        <f>403272.44+36198.15</f>
        <v>439470.59</v>
      </c>
      <c r="C20" s="241">
        <f>19141.33+15661.09+2742.44</f>
        <v>37544.86</v>
      </c>
    </row>
    <row r="21" spans="1:3" x14ac:dyDescent="0.2">
      <c r="A21" t="s">
        <v>781</v>
      </c>
      <c r="B21" s="241">
        <f>80188.95+36489.7</f>
        <v>116678.65</v>
      </c>
      <c r="C21" s="241">
        <f>13294.96+4477.64+10877.7+3663.52+13.02+586.28</f>
        <v>32913.120000000003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1339618.19</v>
      </c>
      <c r="C22" s="232">
        <f>SUM(C19:C21)</f>
        <v>388276.51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72062.28</v>
      </c>
      <c r="C36" s="236">
        <f>'DOE25'!G199+'DOE25'!G217+'DOE25'!G235+'DOE25'!G278+'DOE25'!G297+'DOE25'!G316</f>
        <v>5954.12</v>
      </c>
    </row>
    <row r="37" spans="1:3" x14ac:dyDescent="0.2">
      <c r="A37" t="s">
        <v>779</v>
      </c>
      <c r="B37" s="241">
        <v>28922.5</v>
      </c>
      <c r="C37" s="241">
        <f>1456.35+935.54</f>
        <v>2391.89</v>
      </c>
    </row>
    <row r="38" spans="1:3" x14ac:dyDescent="0.2">
      <c r="A38" t="s">
        <v>780</v>
      </c>
      <c r="B38" s="241">
        <v>875.28</v>
      </c>
      <c r="C38" s="241">
        <v>66.959999999999994</v>
      </c>
    </row>
    <row r="39" spans="1:3" x14ac:dyDescent="0.2">
      <c r="A39" t="s">
        <v>781</v>
      </c>
      <c r="B39" s="241">
        <f>40660.5+1604</f>
        <v>42264.5</v>
      </c>
      <c r="C39" s="241">
        <f>132.65+3362.62</f>
        <v>3495.27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72062.28</v>
      </c>
      <c r="C40" s="232">
        <f>SUM(C37:C39)</f>
        <v>5954.12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SEABROOK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7167685.129999999</v>
      </c>
      <c r="D5" s="20">
        <f>SUM('DOE25'!L196:L199)+SUM('DOE25'!L214:L217)+SUM('DOE25'!L232:L235)-F5-G5</f>
        <v>7151994.9799999986</v>
      </c>
      <c r="E5" s="244"/>
      <c r="F5" s="256">
        <f>SUM('DOE25'!J196:J199)+SUM('DOE25'!J214:J217)+SUM('DOE25'!J232:J235)</f>
        <v>14612.92</v>
      </c>
      <c r="G5" s="53">
        <f>SUM('DOE25'!K196:K199)+SUM('DOE25'!K214:K217)+SUM('DOE25'!K232:K235)</f>
        <v>1077.23</v>
      </c>
      <c r="H5" s="260"/>
    </row>
    <row r="6" spans="1:9" x14ac:dyDescent="0.2">
      <c r="A6" s="32">
        <v>2100</v>
      </c>
      <c r="B6" t="s">
        <v>801</v>
      </c>
      <c r="C6" s="246">
        <f t="shared" si="0"/>
        <v>509250.14</v>
      </c>
      <c r="D6" s="20">
        <f>'DOE25'!L201+'DOE25'!L219+'DOE25'!L237-F6-G6</f>
        <v>509250.14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539645.36</v>
      </c>
      <c r="D7" s="20">
        <f>'DOE25'!L202+'DOE25'!L220+'DOE25'!L238-F7-G7</f>
        <v>480790.32999999996</v>
      </c>
      <c r="E7" s="244"/>
      <c r="F7" s="256">
        <f>'DOE25'!J202+'DOE25'!J220+'DOE25'!J238</f>
        <v>58855.03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253685.25000000006</v>
      </c>
      <c r="D8" s="244"/>
      <c r="E8" s="20">
        <f>'DOE25'!L203+'DOE25'!L221+'DOE25'!L239-F8-G8-D9-D11</f>
        <v>248250.82000000007</v>
      </c>
      <c r="F8" s="256">
        <f>'DOE25'!J203+'DOE25'!J221+'DOE25'!J239</f>
        <v>0</v>
      </c>
      <c r="G8" s="53">
        <f>'DOE25'!K203+'DOE25'!K221+'DOE25'!K239</f>
        <v>5434.43</v>
      </c>
      <c r="H8" s="260"/>
    </row>
    <row r="9" spans="1:9" x14ac:dyDescent="0.2">
      <c r="A9" s="32">
        <v>2310</v>
      </c>
      <c r="B9" t="s">
        <v>818</v>
      </c>
      <c r="C9" s="246">
        <f t="shared" si="0"/>
        <v>69224.83</v>
      </c>
      <c r="D9" s="245">
        <v>69224.83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28155</v>
      </c>
      <c r="D10" s="244"/>
      <c r="E10" s="245">
        <v>28155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115739.99</v>
      </c>
      <c r="D11" s="245">
        <v>115739.99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596493.21000000008</v>
      </c>
      <c r="D12" s="20">
        <f>'DOE25'!L204+'DOE25'!L222+'DOE25'!L240-F12-G12</f>
        <v>593364.21000000008</v>
      </c>
      <c r="E12" s="244"/>
      <c r="F12" s="256">
        <f>'DOE25'!J204+'DOE25'!J222+'DOE25'!J240</f>
        <v>0</v>
      </c>
      <c r="G12" s="53">
        <f>'DOE25'!K204+'DOE25'!K222+'DOE25'!K240</f>
        <v>3129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955801.58000000007</v>
      </c>
      <c r="D14" s="20">
        <f>'DOE25'!L206+'DOE25'!L224+'DOE25'!L242-F14-G14</f>
        <v>920300.52</v>
      </c>
      <c r="E14" s="244"/>
      <c r="F14" s="256">
        <f>'DOE25'!J206+'DOE25'!J224+'DOE25'!J242</f>
        <v>35501.06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689725.91</v>
      </c>
      <c r="D15" s="20">
        <f>'DOE25'!L207+'DOE25'!L225+'DOE25'!L243-F15-G15</f>
        <v>689725.91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235612.08000000002</v>
      </c>
      <c r="D22" s="244"/>
      <c r="E22" s="244"/>
      <c r="F22" s="256">
        <f>'DOE25'!L254+'DOE25'!L335</f>
        <v>235612.08000000002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209838.22</v>
      </c>
      <c r="D25" s="244"/>
      <c r="E25" s="244"/>
      <c r="F25" s="259"/>
      <c r="G25" s="257"/>
      <c r="H25" s="258">
        <f>'DOE25'!L259+'DOE25'!L260+'DOE25'!L340+'DOE25'!L341</f>
        <v>209838.22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179114.77000000002</v>
      </c>
      <c r="D29" s="20">
        <f>'DOE25'!L357+'DOE25'!L358+'DOE25'!L359-'DOE25'!I366-F29-G29</f>
        <v>175564.66000000003</v>
      </c>
      <c r="E29" s="244"/>
      <c r="F29" s="256">
        <f>'DOE25'!J357+'DOE25'!J358+'DOE25'!J359</f>
        <v>1420.4</v>
      </c>
      <c r="G29" s="53">
        <f>'DOE25'!K357+'DOE25'!K358+'DOE25'!K359</f>
        <v>2129.71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738045.37000000011</v>
      </c>
      <c r="D31" s="20">
        <f>'DOE25'!L289+'DOE25'!L308+'DOE25'!L327+'DOE25'!L332+'DOE25'!L333+'DOE25'!L334-F31-G31</f>
        <v>694473.82000000007</v>
      </c>
      <c r="E31" s="244"/>
      <c r="F31" s="256">
        <f>'DOE25'!J289+'DOE25'!J308+'DOE25'!J327+'DOE25'!J332+'DOE25'!J333+'DOE25'!J334</f>
        <v>16343.06</v>
      </c>
      <c r="G31" s="53">
        <f>'DOE25'!K289+'DOE25'!K308+'DOE25'!K327+'DOE25'!K332+'DOE25'!K333+'DOE25'!K334</f>
        <v>27228.489999999998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11400429.389999999</v>
      </c>
      <c r="E33" s="247">
        <f>SUM(E5:E31)</f>
        <v>276405.82000000007</v>
      </c>
      <c r="F33" s="247">
        <f>SUM(F5:F31)</f>
        <v>362344.55000000005</v>
      </c>
      <c r="G33" s="247">
        <f>SUM(G5:G31)</f>
        <v>38998.86</v>
      </c>
      <c r="H33" s="247">
        <f>SUM(H5:H31)</f>
        <v>209838.22</v>
      </c>
    </row>
    <row r="35" spans="2:8" ht="12" thickBot="1" x14ac:dyDescent="0.25">
      <c r="B35" s="254" t="s">
        <v>847</v>
      </c>
      <c r="D35" s="255">
        <f>E33</f>
        <v>276405.82000000007</v>
      </c>
      <c r="E35" s="250"/>
    </row>
    <row r="36" spans="2:8" ht="12" thickTop="1" x14ac:dyDescent="0.2">
      <c r="B36" t="s">
        <v>815</v>
      </c>
      <c r="D36" s="20">
        <f>D33</f>
        <v>11400429.389999999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712345.13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134726.53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67557.02</v>
      </c>
      <c r="D11" s="95">
        <f>'DOE25'!G12</f>
        <v>54868.26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5717.33</v>
      </c>
      <c r="D12" s="95">
        <f>'DOE25'!G13</f>
        <v>17880.73</v>
      </c>
      <c r="E12" s="95">
        <f>'DOE25'!H13</f>
        <v>67557.02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8361.17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793980.65</v>
      </c>
      <c r="D18" s="41">
        <f>SUM(D8:D17)</f>
        <v>72748.990000000005</v>
      </c>
      <c r="E18" s="41">
        <f>SUM(E8:E17)</f>
        <v>67557.02</v>
      </c>
      <c r="F18" s="41">
        <f>SUM(F8:F17)</f>
        <v>0</v>
      </c>
      <c r="G18" s="41">
        <f>SUM(G8:G17)</f>
        <v>134726.53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54868.26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67557.02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124406.91</v>
      </c>
      <c r="D23" s="95">
        <f>'DOE25'!G24</f>
        <v>377.46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7538.68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39499.08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46531.12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272844.05</v>
      </c>
      <c r="D31" s="41">
        <f>SUM(D21:D30)</f>
        <v>377.46</v>
      </c>
      <c r="E31" s="41">
        <f>SUM(E21:E30)</f>
        <v>67557.02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72371.53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45000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91944.14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134726.53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384192.46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521136.60000000003</v>
      </c>
      <c r="D49" s="41">
        <f>SUM(D34:D48)</f>
        <v>72371.53</v>
      </c>
      <c r="E49" s="41">
        <f>SUM(E34:E48)</f>
        <v>0</v>
      </c>
      <c r="F49" s="41">
        <f>SUM(F34:F48)</f>
        <v>0</v>
      </c>
      <c r="G49" s="41">
        <f>SUM(G34:G48)</f>
        <v>134726.53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793980.65</v>
      </c>
      <c r="D50" s="41">
        <f>D49+D31</f>
        <v>72748.990000000005</v>
      </c>
      <c r="E50" s="41">
        <f>E49+E31</f>
        <v>67557.02</v>
      </c>
      <c r="F50" s="41">
        <f>F49+F31</f>
        <v>0</v>
      </c>
      <c r="G50" s="41">
        <f>G49+G31</f>
        <v>134726.53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8064784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4904.78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765.26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75635.8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8045.46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12950.24</v>
      </c>
      <c r="D61" s="130">
        <f>SUM(D56:D60)</f>
        <v>75635.8</v>
      </c>
      <c r="E61" s="130">
        <f>SUM(E56:E60)</f>
        <v>0</v>
      </c>
      <c r="F61" s="130">
        <f>SUM(F56:F60)</f>
        <v>0</v>
      </c>
      <c r="G61" s="130">
        <f>SUM(G56:G60)</f>
        <v>765.26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8077734.2400000002</v>
      </c>
      <c r="D62" s="22">
        <f>D55+D61</f>
        <v>75635.8</v>
      </c>
      <c r="E62" s="22">
        <f>E55+E61</f>
        <v>0</v>
      </c>
      <c r="F62" s="22">
        <f>F55+F61</f>
        <v>0</v>
      </c>
      <c r="G62" s="22">
        <f>G55+G61</f>
        <v>765.26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901317.07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2332196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780.93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3234294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31100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41414.04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4674.26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72514.040000000008</v>
      </c>
      <c r="D77" s="130">
        <f>SUM(D71:D76)</f>
        <v>4674.26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3306808.04</v>
      </c>
      <c r="D80" s="130">
        <f>SUM(D78:D79)+D77+D69</f>
        <v>4674.26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95845.74</v>
      </c>
      <c r="D84" s="95">
        <f>'DOE25'!G146</f>
        <v>32713.41</v>
      </c>
      <c r="E84" s="95">
        <f>'DOE25'!H146</f>
        <v>77224.86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75948.36</v>
      </c>
      <c r="D87" s="95">
        <f>SUM('DOE25'!G152:G160)</f>
        <v>205438.81</v>
      </c>
      <c r="E87" s="95">
        <f>SUM('DOE25'!H152:H160)</f>
        <v>660820.51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171794.1</v>
      </c>
      <c r="D90" s="131">
        <f>SUM(D84:D89)</f>
        <v>238152.22</v>
      </c>
      <c r="E90" s="131">
        <f>SUM(E84:E89)</f>
        <v>738045.37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45000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45000</v>
      </c>
    </row>
    <row r="103" spans="1:7" ht="12.75" thickTop="1" thickBot="1" x14ac:dyDescent="0.25">
      <c r="A103" s="33" t="s">
        <v>765</v>
      </c>
      <c r="C103" s="86">
        <f>C62+C80+C90+C102</f>
        <v>11556336.380000001</v>
      </c>
      <c r="D103" s="86">
        <f>D62+D80+D90+D102</f>
        <v>318462.28000000003</v>
      </c>
      <c r="E103" s="86">
        <f>E62+E80+E90+E102</f>
        <v>738045.37</v>
      </c>
      <c r="F103" s="86">
        <f>F62+F80+F90+F102</f>
        <v>0</v>
      </c>
      <c r="G103" s="86">
        <f>G62+G80+G102</f>
        <v>45765.26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5210112.01</v>
      </c>
      <c r="D108" s="24" t="s">
        <v>289</v>
      </c>
      <c r="E108" s="95">
        <f>('DOE25'!L275)+('DOE25'!L294)+('DOE25'!L313)</f>
        <v>525436.4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1867771.76</v>
      </c>
      <c r="D109" s="24" t="s">
        <v>289</v>
      </c>
      <c r="E109" s="95">
        <f>('DOE25'!L276)+('DOE25'!L295)+('DOE25'!L314)</f>
        <v>169352.38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89801.36</v>
      </c>
      <c r="D111" s="24" t="s">
        <v>289</v>
      </c>
      <c r="E111" s="95">
        <f>+('DOE25'!L278)+('DOE25'!L297)+('DOE25'!L316)</f>
        <v>942.24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30634.100000000002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7198319.2299999995</v>
      </c>
      <c r="D114" s="86">
        <f>SUM(D108:D113)</f>
        <v>0</v>
      </c>
      <c r="E114" s="86">
        <f>SUM(E108:E113)</f>
        <v>695731.02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509250.14</v>
      </c>
      <c r="D117" s="24" t="s">
        <v>289</v>
      </c>
      <c r="E117" s="95">
        <f>+('DOE25'!L280)+('DOE25'!L299)+('DOE25'!L318)</f>
        <v>10153.460000000001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539645.36</v>
      </c>
      <c r="D118" s="24" t="s">
        <v>289</v>
      </c>
      <c r="E118" s="95">
        <f>+('DOE25'!L281)+('DOE25'!L300)+('DOE25'!L319)</f>
        <v>4932.3999999999996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438650.07000000007</v>
      </c>
      <c r="D119" s="24" t="s">
        <v>289</v>
      </c>
      <c r="E119" s="95">
        <f>+('DOE25'!L282)+('DOE25'!L301)+('DOE25'!L320)</f>
        <v>27228.489999999998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596493.21000000008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955801.58000000007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689725.91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322010.38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3729566.2700000005</v>
      </c>
      <c r="D127" s="86">
        <f>SUM(D117:D126)</f>
        <v>322010.38</v>
      </c>
      <c r="E127" s="86">
        <f>SUM(E117:E126)</f>
        <v>42314.35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235612.08000000002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114838.22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45765.259999999995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-765.25999999999476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490450.30000000005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11418335.800000001</v>
      </c>
      <c r="D144" s="86">
        <f>(D114+D127+D143)</f>
        <v>322010.38</v>
      </c>
      <c r="E144" s="86">
        <f>(E114+E127+E143)</f>
        <v>738045.37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4/15/2010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7/15/2024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1780093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1.26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1588093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1588093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115608.47999999998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115608.47999999998</v>
      </c>
    </row>
    <row r="158" spans="1:9" x14ac:dyDescent="0.2">
      <c r="A158" s="22" t="s">
        <v>35</v>
      </c>
      <c r="B158" s="137">
        <f>'DOE25'!F497</f>
        <v>1488093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1488093</v>
      </c>
    </row>
    <row r="159" spans="1:9" x14ac:dyDescent="0.2">
      <c r="A159" s="22" t="s">
        <v>36</v>
      </c>
      <c r="B159" s="137">
        <f>'DOE25'!F498</f>
        <v>137401.59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137401.59</v>
      </c>
    </row>
    <row r="160" spans="1:9" x14ac:dyDescent="0.2">
      <c r="A160" s="22" t="s">
        <v>37</v>
      </c>
      <c r="B160" s="137">
        <f>'DOE25'!F499</f>
        <v>1625494.59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1625494.59</v>
      </c>
    </row>
    <row r="161" spans="1:7" x14ac:dyDescent="0.2">
      <c r="A161" s="22" t="s">
        <v>38</v>
      </c>
      <c r="B161" s="137">
        <f>'DOE25'!F500</f>
        <v>100000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100000</v>
      </c>
    </row>
    <row r="162" spans="1:7" x14ac:dyDescent="0.2">
      <c r="A162" s="22" t="s">
        <v>39</v>
      </c>
      <c r="B162" s="137">
        <f>'DOE25'!F501</f>
        <v>19379.979999999996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19379.979999999996</v>
      </c>
    </row>
    <row r="163" spans="1:7" x14ac:dyDescent="0.2">
      <c r="A163" s="22" t="s">
        <v>246</v>
      </c>
      <c r="B163" s="137">
        <f>'DOE25'!F502</f>
        <v>119379.98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119379.98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SEABROOK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18394</v>
      </c>
    </row>
    <row r="5" spans="1:4" x14ac:dyDescent="0.2">
      <c r="B5" t="s">
        <v>704</v>
      </c>
      <c r="C5" s="179">
        <f>IF('DOE25'!G664+'DOE25'!G669=0,0,ROUND('DOE25'!G671,0))</f>
        <v>14792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16642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5735548</v>
      </c>
      <c r="D10" s="182">
        <f>ROUND((C10/$C$28)*100,1)</f>
        <v>47.7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2037124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90744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519404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544578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465879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596493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955802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689726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30634</v>
      </c>
      <c r="D23" s="182">
        <f t="shared" si="0"/>
        <v>0.3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114838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246374.2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12027144.199999999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235612</v>
      </c>
    </row>
    <row r="30" spans="1:4" x14ac:dyDescent="0.2">
      <c r="B30" s="187" t="s">
        <v>729</v>
      </c>
      <c r="C30" s="180">
        <f>SUM(C28:C29)</f>
        <v>12262756.199999999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8064784</v>
      </c>
      <c r="D35" s="182">
        <f t="shared" ref="D35:D40" si="1">ROUND((C35/$C$41)*100,1)</f>
        <v>64.3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13715.5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3234294</v>
      </c>
      <c r="D37" s="182">
        <f t="shared" si="1"/>
        <v>25.8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77188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1147992</v>
      </c>
      <c r="D39" s="182">
        <f t="shared" si="1"/>
        <v>9.1999999999999993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12537973.5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9" sqref="A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SEABROOK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 t="s">
        <v>909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20</v>
      </c>
      <c r="B6" s="220"/>
      <c r="C6" s="280" t="s">
        <v>913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20</v>
      </c>
      <c r="B7" s="220"/>
      <c r="C7" s="280" t="s">
        <v>914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 t="s">
        <v>915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2012-08-28T12:39:11Z</cp:lastPrinted>
  <dcterms:created xsi:type="dcterms:W3CDTF">1997-12-04T19:04:30Z</dcterms:created>
  <dcterms:modified xsi:type="dcterms:W3CDTF">2012-11-21T16:01:28Z</dcterms:modified>
</cp:coreProperties>
</file>