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44" i="1"/>
  <c r="K424" i="1" l="1"/>
  <c r="K421" i="1"/>
  <c r="H386" i="1" l="1"/>
  <c r="J95" i="1"/>
  <c r="J467" i="1"/>
  <c r="J471" i="1"/>
  <c r="H399" i="1"/>
  <c r="G612" i="1"/>
  <c r="F612" i="1"/>
  <c r="I531" i="1"/>
  <c r="I530" i="1"/>
  <c r="H531" i="1"/>
  <c r="G527" i="1"/>
  <c r="G526" i="1"/>
  <c r="G525" i="1"/>
  <c r="F527" i="1"/>
  <c r="F526" i="1"/>
  <c r="F525" i="1"/>
  <c r="J521" i="1"/>
  <c r="J520" i="1"/>
  <c r="I522" i="1"/>
  <c r="I521" i="1"/>
  <c r="I520" i="1"/>
  <c r="G521" i="1"/>
  <c r="G520" i="1"/>
  <c r="F522" i="1"/>
  <c r="F521" i="1"/>
  <c r="F520" i="1"/>
  <c r="H603" i="1"/>
  <c r="J603" i="1"/>
  <c r="I603" i="1"/>
  <c r="I567" i="1"/>
  <c r="F95" i="1"/>
  <c r="F56" i="1"/>
  <c r="F12" i="1"/>
  <c r="G467" i="1"/>
  <c r="G22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 s="1"/>
  <c r="I192" i="1" s="1"/>
  <c r="G629" i="1" s="1"/>
  <c r="J629" i="1" s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F433" i="1" s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28" i="1"/>
  <c r="F533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64" i="1"/>
  <c r="G569" i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 s="1"/>
  <c r="G642" i="1"/>
  <c r="H642" i="1"/>
  <c r="G643" i="1"/>
  <c r="H643" i="1"/>
  <c r="G644" i="1"/>
  <c r="H644" i="1"/>
  <c r="H646" i="1"/>
  <c r="G649" i="1"/>
  <c r="H649" i="1"/>
  <c r="G650" i="1"/>
  <c r="G651" i="1"/>
  <c r="H651" i="1"/>
  <c r="J651" i="1" s="1"/>
  <c r="G652" i="1"/>
  <c r="H652" i="1"/>
  <c r="J652" i="1" s="1"/>
  <c r="G653" i="1"/>
  <c r="H653" i="1"/>
  <c r="H654" i="1"/>
  <c r="J351" i="1"/>
  <c r="F191" i="1"/>
  <c r="L255" i="1"/>
  <c r="L256" i="1"/>
  <c r="L270" i="1" s="1"/>
  <c r="G631" i="1" s="1"/>
  <c r="J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/>
  <c r="H663" i="1" s="1"/>
  <c r="H671" i="1" s="1"/>
  <c r="C6" i="10" s="1"/>
  <c r="L350" i="1"/>
  <c r="I661" i="1"/>
  <c r="L289" i="1"/>
  <c r="F659" i="1"/>
  <c r="F663" i="1" s="1"/>
  <c r="F671" i="1" s="1"/>
  <c r="C4" i="10" s="1"/>
  <c r="A31" i="12"/>
  <c r="C69" i="2"/>
  <c r="A40" i="12"/>
  <c r="D12" i="13"/>
  <c r="C12" i="13" s="1"/>
  <c r="G8" i="2"/>
  <c r="G161" i="2"/>
  <c r="D61" i="2"/>
  <c r="D62" i="2" s="1"/>
  <c r="E49" i="2"/>
  <c r="D18" i="13"/>
  <c r="C18" i="13"/>
  <c r="D15" i="13"/>
  <c r="C15" i="13"/>
  <c r="D7" i="13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 s="1"/>
  <c r="F61" i="2"/>
  <c r="F62" i="2" s="1"/>
  <c r="D31" i="2"/>
  <c r="C127" i="2"/>
  <c r="C77" i="2"/>
  <c r="D49" i="2"/>
  <c r="D50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 s="1"/>
  <c r="L426" i="1"/>
  <c r="L433" i="1" s="1"/>
  <c r="G637" i="1" s="1"/>
  <c r="J637" i="1" s="1"/>
  <c r="J256" i="1"/>
  <c r="H111" i="1"/>
  <c r="F111" i="1"/>
  <c r="J640" i="1"/>
  <c r="J638" i="1"/>
  <c r="K604" i="1"/>
  <c r="G647" i="1" s="1"/>
  <c r="J647" i="1" s="1"/>
  <c r="J570" i="1"/>
  <c r="K570" i="1"/>
  <c r="L432" i="1"/>
  <c r="L418" i="1"/>
  <c r="D80" i="2"/>
  <c r="I168" i="1"/>
  <c r="H168" i="1"/>
  <c r="J270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/>
  <c r="D144" i="2"/>
  <c r="C23" i="10"/>
  <c r="F168" i="1"/>
  <c r="F192" i="1" s="1"/>
  <c r="G626" i="1" s="1"/>
  <c r="J139" i="1"/>
  <c r="F570" i="1"/>
  <c r="H256" i="1"/>
  <c r="H270" i="1" s="1"/>
  <c r="G62" i="2"/>
  <c r="G103" i="2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/>
  <c r="F551" i="1"/>
  <c r="C35" i="10"/>
  <c r="C36" i="10" s="1"/>
  <c r="L308" i="1"/>
  <c r="D5" i="13"/>
  <c r="D33" i="13" s="1"/>
  <c r="D36" i="13" s="1"/>
  <c r="E16" i="13"/>
  <c r="C49" i="2"/>
  <c r="C50" i="2" s="1"/>
  <c r="J654" i="1"/>
  <c r="J644" i="1"/>
  <c r="J192" i="1"/>
  <c r="H666" i="1"/>
  <c r="L569" i="1"/>
  <c r="I570" i="1"/>
  <c r="I544" i="1"/>
  <c r="J635" i="1"/>
  <c r="G36" i="2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C5" i="13"/>
  <c r="C22" i="13"/>
  <c r="F33" i="13"/>
  <c r="C137" i="2"/>
  <c r="C16" i="13"/>
  <c r="E33" i="13"/>
  <c r="D35" i="13" s="1"/>
  <c r="G659" i="1"/>
  <c r="G663" i="1" s="1"/>
  <c r="G671" i="1" s="1"/>
  <c r="C5" i="10" s="1"/>
  <c r="D31" i="13"/>
  <c r="C31" i="13" s="1"/>
  <c r="L337" i="1"/>
  <c r="L351" i="1" s="1"/>
  <c r="G632" i="1" s="1"/>
  <c r="J632" i="1" s="1"/>
  <c r="C25" i="13"/>
  <c r="H33" i="13"/>
  <c r="F666" i="1"/>
  <c r="G630" i="1"/>
  <c r="J630" i="1" s="1"/>
  <c r="G645" i="1"/>
  <c r="I659" i="1"/>
  <c r="I663" i="1" s="1"/>
  <c r="G666" i="1"/>
  <c r="G21" i="2" l="1"/>
  <c r="J32" i="1"/>
  <c r="G12" i="2"/>
  <c r="G18" i="2" s="1"/>
  <c r="J19" i="1"/>
  <c r="G620" i="1" s="1"/>
  <c r="C139" i="2"/>
  <c r="L407" i="1"/>
  <c r="G44" i="2"/>
  <c r="J50" i="1"/>
  <c r="C140" i="2"/>
  <c r="G49" i="2"/>
  <c r="G31" i="2"/>
  <c r="D103" i="2"/>
  <c r="J653" i="1"/>
  <c r="J649" i="1"/>
  <c r="G570" i="1"/>
  <c r="I433" i="1"/>
  <c r="G433" i="1"/>
  <c r="C38" i="10"/>
  <c r="C103" i="2"/>
  <c r="F544" i="1"/>
  <c r="H433" i="1"/>
  <c r="G168" i="1"/>
  <c r="C39" i="10" s="1"/>
  <c r="I666" i="1"/>
  <c r="I671" i="1"/>
  <c r="C7" i="10" s="1"/>
  <c r="C143" i="2"/>
  <c r="C144" i="2" s="1"/>
  <c r="J626" i="1"/>
  <c r="E103" i="2"/>
  <c r="F103" i="2"/>
  <c r="J648" i="1"/>
  <c r="C27" i="10"/>
  <c r="C28" i="10" s="1"/>
  <c r="G634" i="1"/>
  <c r="J634" i="1" s="1"/>
  <c r="C41" i="10" l="1"/>
  <c r="D36" i="10" s="1"/>
  <c r="G50" i="2"/>
  <c r="G625" i="1"/>
  <c r="J625" i="1" s="1"/>
  <c r="J51" i="1"/>
  <c r="H620" i="1" s="1"/>
  <c r="J620" i="1" s="1"/>
  <c r="G636" i="1"/>
  <c r="J636" i="1" s="1"/>
  <c r="H645" i="1"/>
  <c r="J645" i="1" s="1"/>
  <c r="G192" i="1"/>
  <c r="G627" i="1" s="1"/>
  <c r="J627" i="1" s="1"/>
  <c r="D23" i="10"/>
  <c r="D24" i="10"/>
  <c r="D22" i="10"/>
  <c r="D15" i="10"/>
  <c r="D19" i="10"/>
  <c r="D16" i="10"/>
  <c r="D12" i="10"/>
  <c r="D21" i="10"/>
  <c r="D25" i="10"/>
  <c r="C30" i="10"/>
  <c r="D17" i="10"/>
  <c r="D11" i="10"/>
  <c r="D26" i="10"/>
  <c r="D18" i="10"/>
  <c r="D13" i="10"/>
  <c r="D20" i="10"/>
  <c r="D10" i="10"/>
  <c r="D38" i="10"/>
  <c r="D27" i="10"/>
  <c r="D39" i="10"/>
  <c r="D40" i="10"/>
  <c r="D35" i="10"/>
  <c r="H655" i="1"/>
  <c r="D37" i="10" l="1"/>
  <c r="D41" i="10" s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<sst xmlns="http://schemas.openxmlformats.org/spreadsheetml/2006/main" count="3945" uniqueCount="912">
  <si>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</si>
  <si>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</si>
  <si>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</si>
  <si>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</si>
  <si>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</si>
  <si>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</si>
  <si>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</si>
  <si>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</si>
  <si>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</si>
  <si>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</si>
  <si>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</si>
  <si>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</si>
  <si>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</si>
  <si>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</si>
  <si>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</si>
  <si>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</si>
  <si>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</si>
  <si>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</si>
  <si>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</si>
  <si>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</si>
  <si>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</si>
  <si>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</si>
  <si>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</si>
  <si>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</si>
  <si>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</si>
  <si>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</si>
  <si>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</si>
  <si>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</si>
  <si>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</si>
  <si>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</si>
  <si>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</si>
  <si>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</si>
  <si>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</si>
  <si>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</si>
  <si>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</si>
  <si>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</si>
  <si>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</si>
  <si>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</si>
  <si>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</si>
  <si>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</si>
  <si>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</si>
  <si>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</si>
  <si>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</si>
  <si>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</si>
  <si>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</si>
  <si>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</si>
  <si>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</si>
  <si>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</si>
  <si>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</si>
  <si>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</si>
  <si>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</si>
  <si>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</si>
  <si>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</si>
  <si>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</si>
  <si>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</si>
  <si>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</si>
  <si>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</si>
  <si>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</si>
  <si>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</si>
  <si>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</si>
  <si>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</si>
  <si>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</si>
  <si>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</si>
  <si>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</si>
  <si>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</si>
  <si>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</si>
  <si>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</si>
  <si>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</si>
  <si>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</si>
  <si>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</si>
  <si>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</si>
  <si>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</si>
  <si>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</si>
  <si>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</si>
  <si>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</si>
  <si>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</si>
  <si>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</si>
  <si>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</si>
  <si>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</si>
  <si>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</si>
  <si>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</si>
  <si>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</si>
  <si>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</si>
  <si>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</si>
  <si>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</si>
  <si>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</si>
  <si>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</si>
  <si>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</si>
  <si>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</si>
  <si>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</si>
  <si>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</si>
  <si>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</si>
  <si>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</si>
  <si>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</si>
  <si>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</si>
  <si>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</si>
  <si>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</si>
  <si>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</si>
  <si>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</si>
  <si>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</si>
  <si>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</si>
  <si>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</si>
  <si>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</si>
  <si>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</si>
  <si>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</si>
  <si>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</si>
  <si>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</si>
  <si>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</si>
  <si>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</si>
  <si>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</si>
  <si>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</si>
  <si>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</si>
  <si>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</si>
  <si>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</si>
  <si>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</si>
  <si>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</si>
  <si>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</si>
  <si>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</si>
  <si>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</si>
  <si>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</si>
  <si>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</si>
  <si>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</si>
  <si>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</si>
  <si>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</si>
  <si>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</si>
  <si>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</si>
  <si>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</si>
  <si>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</si>
  <si>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</si>
  <si>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</si>
  <si>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</si>
  <si>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</si>
  <si>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</si>
  <si>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</si>
  <si>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</si>
  <si>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</si>
  <si>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</si>
  <si>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</si>
  <si>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</si>
  <si>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</si>
  <si>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</si>
  <si>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</si>
  <si>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</si>
  <si>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</si>
  <si>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</si>
  <si>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</si>
  <si>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</si>
  <si>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</si>
  <si>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</si>
  <si>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</si>
  <si>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</si>
  <si>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</si>
  <si>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</si>
  <si>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</si>
  <si>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</si>
  <si>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</si>
  <si>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</si>
  <si>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</si>
  <si>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</si>
  <si>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</si>
  <si>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</si>
  <si>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</si>
  <si>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</si>
  <si>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</si>
  <si>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</si>
  <si>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</si>
  <si>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</si>
  <si>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</si>
  <si>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</si>
  <si>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</si>
  <si>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</si>
  <si>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</si>
  <si>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</si>
  <si>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</si>
  <si>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</si>
  <si>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</si>
  <si>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</si>
  <si>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</si>
  <si>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</si>
  <si>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</si>
  <si>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</si>
  <si>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</si>
  <si>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</si>
  <si>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</si>
  <si>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</si>
  <si>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</si>
  <si>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</si>
  <si>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</si>
  <si>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</si>
  <si>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</si>
  <si>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</si>
  <si>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</si>
  <si>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</si>
  <si>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</si>
  <si>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</si>
  <si>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</si>
  <si>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</si>
  <si>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</si>
  <si>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</si>
  <si>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</si>
  <si>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</si>
  <si>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</si>
  <si>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</si>
  <si>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</si>
  <si>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</si>
  <si>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</si>
  <si>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</si>
  <si>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</si>
  <si>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</si>
  <si>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</si>
  <si>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</si>
  <si>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</si>
  <si>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</si>
  <si>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</si>
  <si>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</si>
  <si>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</si>
  <si>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</si>
  <si>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</si>
  <si>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</si>
  <si>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</si>
  <si>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</si>
  <si>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</si>
  <si>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</si>
  <si>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</si>
  <si>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</si>
  <si>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</si>
  <si>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</si>
  <si>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</si>
  <si>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</si>
  <si>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</si>
  <si>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</si>
  <si>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</si>
  <si>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</si>
  <si>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</si>
  <si>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</si>
  <si>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</si>
  <si>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</si>
  <si>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</si>
  <si>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</si>
  <si>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</si>
  <si>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</si>
  <si>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</si>
  <si>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</si>
  <si>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</si>
  <si>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</si>
  <si>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</si>
  <si>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</si>
  <si>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</si>
  <si>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</si>
  <si>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</si>
  <si>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</si>
  <si>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</si>
  <si>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</si>
  <si>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</si>
  <si>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</si>
  <si>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</si>
  <si>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</si>
  <si>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</si>
  <si>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</si>
  <si>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</si>
  <si>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</si>
  <si>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</si>
  <si>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</si>
  <si>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</si>
  <si>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</si>
  <si>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</si>
  <si>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</si>
  <si>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</si>
  <si>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</si>
  <si>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</si>
  <si>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</si>
  <si>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</si>
  <si>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</si>
  <si>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</si>
  <si>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</si>
  <si>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</si>
  <si>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</si>
  <si>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</si>
  <si>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</si>
  <si>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</si>
  <si>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</si>
  <si>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</si>
  <si>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</si>
  <si>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</si>
  <si>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</si>
  <si>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</si>
  <si>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</si>
  <si>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</si>
  <si>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</si>
  <si>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</si>
  <si>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</si>
  <si>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</si>
  <si>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</si>
  <si>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</si>
  <si>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</si>
  <si>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</si>
  <si>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</si>
  <si>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</si>
  <si>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</si>
  <si>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</si>
  <si>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</si>
  <si>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</si>
  <si>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</si>
  <si>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</si>
  <si>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</si>
  <si>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</si>
  <si>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</si>
  <si>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</si>
  <si>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</si>
  <si>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</si>
  <si>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</si>
  <si>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</si>
  <si>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</si>
  <si>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</si>
  <si>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</si>
  <si>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</si>
  <si>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</si>
  <si>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</si>
  <si>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</si>
  <si>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</si>
  <si>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</si>
  <si>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</si>
  <si>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</si>
  <si>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</si>
  <si>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</si>
  <si>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</si>
  <si>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</si>
  <si>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</si>
  <si>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</si>
  <si>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</si>
  <si>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</si>
  <si>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</si>
  <si>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</si>
  <si>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</si>
  <si>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</si>
  <si>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</si>
  <si>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</si>
  <si>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</si>
  <si>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</si>
  <si>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</si>
  <si>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</si>
  <si>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</si>
  <si>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</si>
  <si>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</si>
  <si>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</si>
  <si>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</si>
  <si>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</si>
  <si>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</si>
  <si>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</si>
  <si>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</si>
  <si>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</si>
  <si>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</si>
  <si>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</si>
  <si>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</si>
  <si>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</si>
  <si>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</si>
  <si>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</si>
  <si>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</si>
  <si>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</si>
  <si>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</si>
  <si>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</si>
  <si>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</si>
  <si>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</si>
  <si>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</si>
  <si>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</si>
  <si>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</si>
  <si>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</si>
  <si>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</si>
  <si>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</si>
  <si>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</si>
  <si>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</si>
  <si>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</si>
  <si>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</si>
  <si>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</si>
  <si>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</si>
  <si>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</si>
  <si>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</si>
  <si>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</si>
  <si>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</si>
  <si>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</si>
  <si>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</si>
  <si>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</si>
  <si>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</si>
  <si>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</si>
  <si>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</si>
  <si>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</si>
  <si>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</si>
  <si>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</si>
  <si>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</si>
  <si>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</si>
  <si>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</si>
  <si>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</si>
  <si>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</si>
  <si>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</si>
  <si>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</si>
  <si>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</si>
  <si>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</si>
  <si>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</si>
  <si>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</si>
  <si>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</si>
  <si>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</si>
  <si>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</si>
  <si>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</si>
  <si>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</si>
  <si>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</si>
  <si>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</si>
  <si>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</si>
  <si>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</si>
  <si>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</si>
  <si>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</si>
  <si>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</si>
  <si>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</si>
  <si>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</si>
  <si>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</si>
  <si>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</si>
  <si>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</si>
  <si>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</si>
  <si>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</si>
  <si>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</si>
  <si>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</si>
  <si>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</si>
  <si>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</si>
  <si>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</si>
  <si>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</si>
  <si>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</si>
  <si>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</si>
  <si>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</si>
  <si>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</si>
  <si>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</si>
  <si>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</si>
  <si>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</si>
  <si>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</si>
  <si>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</si>
  <si>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</si>
  <si>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</si>
  <si>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</si>
  <si>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</si>
  <si>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</si>
  <si>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</si>
  <si>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</si>
  <si>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</si>
  <si>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</si>
  <si>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</si>
  <si>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</si>
  <si>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</si>
  <si>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</si>
  <si>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</si>
  <si>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</si>
  <si>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</si>
  <si>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</si>
  <si>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</si>
  <si>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</si>
  <si>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</si>
  <si>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</si>
  <si>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</si>
  <si>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</si>
  <si>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</si>
  <si>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</si>
  <si>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</si>
  <si>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</si>
  <si>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</si>
  <si>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</si>
  <si>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</si>
  <si>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</si>
  <si>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</si>
  <si>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</si>
  <si>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</si>
  <si>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</si>
  <si>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</si>
  <si>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</si>
  <si>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</si>
  <si>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</si>
  <si>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</si>
  <si>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</si>
  <si>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</si>
  <si>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</si>
  <si>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</si>
  <si>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</si>
  <si>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</si>
  <si>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</si>
  <si>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</si>
  <si>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</si>
  <si>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</si>
  <si>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</si>
  <si>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</si>
  <si>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</si>
  <si>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</si>
  <si>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</si>
  <si>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</si>
  <si>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</si>
  <si>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</si>
  <si>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</si>
  <si>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</si>
  <si>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</si>
  <si>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</si>
  <si>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</si>
  <si>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</si>
  <si>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</si>
  <si>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</si>
  <si>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</si>
  <si>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</si>
  <si>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</si>
  <si>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</si>
  <si>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</si>
  <si>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</si>
  <si>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</si>
  <si>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</si>
  <si>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</si>
  <si>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</si>
  <si>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</si>
  <si>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</si>
  <si>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</si>
  <si>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</si>
  <si>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</si>
  <si>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</si>
  <si>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</si>
  <si>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</si>
  <si>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</si>
  <si>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</si>
  <si>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</si>
  <si>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</si>
  <si>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</si>
  <si>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</si>
  <si>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</si>
  <si>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</si>
  <si>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</si>
  <si>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</si>
  <si>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</si>
  <si>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</si>
  <si>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</si>
  <si>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</si>
  <si>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</si>
  <si>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</si>
  <si>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</si>
  <si>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</si>
  <si>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</si>
  <si>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</si>
  <si>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</si>
  <si>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</si>
  <si>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</si>
  <si>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</si>
  <si>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</si>
  <si>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</si>
  <si>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</si>
  <si>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</si>
  <si>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</si>
  <si>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</si>
  <si>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</si>
  <si>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</si>
  <si>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</si>
  <si>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</si>
  <si>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</si>
  <si>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</si>
  <si>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</si>
  <si>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</si>
  <si>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</si>
  <si>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</si>
  <si>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</si>
  <si>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</si>
  <si>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</si>
  <si>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</si>
  <si>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</si>
  <si>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</si>
  <si>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</si>
  <si>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</si>
  <si>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</si>
  <si>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</si>
  <si>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</si>
  <si>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</si>
  <si>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</si>
  <si>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</si>
  <si>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</si>
  <si>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</si>
  <si>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</si>
  <si>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</si>
  <si>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</si>
  <si>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</si>
  <si>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</si>
  <si>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</si>
  <si>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</si>
  <si>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</si>
  <si>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</si>
  <si>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</si>
  <si>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</si>
  <si>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</si>
  <si>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</si>
  <si>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</si>
  <si>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</si>
  <si>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</si>
  <si>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</si>
  <si>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</si>
  <si>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</si>
  <si>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</si>
  <si>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</si>
  <si>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</si>
  <si>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</si>
  <si>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</si>
  <si>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</si>
  <si>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</si>
  <si>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</si>
  <si>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</si>
  <si>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</si>
  <si>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</si>
  <si>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</si>
  <si>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</si>
  <si>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</si>
  <si>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</si>
  <si>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</si>
  <si>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</si>
  <si>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</si>
  <si>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</si>
  <si>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</si>
  <si>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</si>
  <si>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</si>
  <si>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</si>
  <si>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</si>
  <si>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</si>
  <si>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</si>
  <si>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</si>
  <si>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</si>
  <si>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</si>
  <si>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</si>
  <si>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</si>
  <si>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</si>
  <si>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</si>
  <si>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</si>
  <si>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</si>
  <si>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</si>
  <si>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</si>
  <si>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</si>
  <si>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</si>
  <si>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</si>
  <si>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</si>
  <si>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</si>
  <si>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</si>
  <si>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</si>
  <si>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</si>
  <si>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</si>
  <si>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</si>
  <si>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</si>
  <si>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</si>
  <si>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</si>
  <si>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</si>
  <si>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</si>
  <si>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</si>
  <si>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</si>
  <si>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</si>
  <si>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</si>
  <si>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</si>
  <si>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</si>
  <si>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</si>
  <si>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</si>
  <si>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</si>
  <si>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</si>
  <si>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</si>
  <si>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</si>
  <si>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</si>
  <si>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</si>
  <si>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</si>
  <si>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</si>
  <si>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</si>
  <si>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</si>
  <si>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</si>
  <si>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</si>
  <si>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</si>
  <si>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</si>
  <si>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</si>
  <si>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</si>
  <si>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</si>
  <si>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</si>
  <si>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</si>
  <si>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</si>
  <si>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</si>
  <si>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</si>
  <si>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</si>
  <si>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</si>
  <si>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</si>
  <si>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</si>
  <si>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</si>
  <si>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</si>
  <si>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</si>
  <si>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</si>
  <si>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</si>
  <si>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</si>
  <si>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</si>
  <si>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</si>
  <si>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</si>
  <si>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</si>
  <si>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</si>
  <si>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</si>
  <si>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</si>
  <si>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</si>
  <si>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</si>
  <si>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</si>
  <si>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</si>
  <si>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</si>
  <si>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</si>
  <si>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</si>
  <si>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</si>
  <si>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</si>
  <si>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</si>
  <si>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</si>
  <si>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</si>
  <si>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</si>
  <si>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</si>
  <si>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</si>
  <si>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</si>
  <si>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</si>
  <si>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</si>
  <si>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</si>
  <si>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</si>
  <si>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</si>
  <si>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</si>
  <si>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</si>
  <si>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</si>
  <si>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</si>
  <si>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</si>
  <si>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</si>
  <si>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</si>
  <si>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</si>
  <si>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</si>
  <si>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</si>
  <si>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</si>
  <si>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</si>
  <si>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</si>
  <si>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</si>
  <si>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</si>
  <si>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</si>
  <si>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</si>
  <si>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</si>
  <si>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</si>
  <si>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</si>
  <si>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</si>
  <si>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</si>
  <si>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</si>
  <si>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</si>
  <si>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</si>
  <si>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</si>
  <si>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</si>
  <si>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</si>
  <si>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</si>
  <si>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</si>
  <si>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</si>
  <si>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</si>
  <si>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</si>
  <si>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</si>
  <si>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</si>
  <si>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</si>
  <si>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</si>
  <si>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</si>
  <si>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</si>
  <si>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</si>
  <si>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</si>
  <si>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</si>
  <si>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</si>
  <si>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</si>
  <si>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</si>
  <si>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</si>
  <si>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</si>
  <si>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</si>
  <si>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</si>
  <si>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</si>
  <si>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</si>
  <si>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</si>
  <si>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</si>
  <si>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</si>
  <si>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</si>
  <si>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</si>
  <si>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</si>
  <si>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</si>
  <si>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</si>
  <si>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</si>
  <si>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</si>
  <si>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</si>
  <si>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</si>
  <si>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</si>
  <si>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</si>
  <si>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</si>
  <si>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</si>
  <si>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</si>
  <si>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</si>
  <si>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</si>
  <si>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</si>
  <si>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</si>
  <si>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</si>
  <si>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</si>
  <si>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</si>
  <si>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</si>
  <si>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</si>
  <si>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</si>
  <si>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</si>
  <si>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</si>
  <si>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</si>
  <si>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</si>
  <si>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</si>
  <si>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</si>
  <si>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</si>
  <si>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</si>
  <si>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</si>
  <si>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</si>
  <si>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</si>
  <si>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</si>
  <si>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</si>
  <si>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</si>
  <si>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</si>
  <si>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</si>
  <si>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</si>
  <si>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</si>
  <si>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</si>
  <si>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</si>
  <si>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</si>
  <si>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</si>
  <si>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</si>
  <si>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</si>
  <si>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</si>
  <si>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</si>
  <si>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</si>
  <si>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</si>
  <si>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</si>
  <si>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</si>
  <si>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</si>
  <si>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</si>
  <si>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</si>
  <si>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</si>
  <si>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</si>
  <si>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</si>
  <si>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</si>
  <si>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</si>
  <si>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</si>
  <si>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</si>
  <si>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</si>
  <si>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</si>
  <si>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</si>
  <si>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</si>
  <si>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</si>
  <si>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</si>
  <si>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</si>
  <si>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</si>
  <si>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</si>
  <si>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</si>
  <si>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</si>
  <si>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</si>
  <si>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</si>
  <si>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</si>
  <si>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</si>
  <si>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</si>
  <si>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</si>
  <si>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</si>
  <si>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</si>
  <si>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</si>
  <si>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</si>
  <si>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</si>
  <si>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</si>
  <si>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</si>
  <si>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</si>
  <si>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</si>
  <si>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</si>
  <si>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</si>
  <si>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</si>
  <si>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</si>
  <si>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</si>
  <si>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</si>
  <si>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</si>
  <si>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</si>
  <si>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</si>
  <si>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</si>
  <si>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</si>
  <si>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</si>
  <si>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</si>
  <si>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</si>
  <si>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</si>
  <si>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</si>
  <si>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</si>
  <si>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</si>
  <si>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</si>
  <si>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</si>
  <si>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</si>
  <si>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</si>
  <si>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</si>
  <si>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</si>
  <si>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</si>
  <si>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</si>
  <si>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</si>
  <si>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</si>
  <si>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</si>
  <si>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</si>
  <si>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</si>
  <si>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</si>
  <si>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</si>
  <si>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</si>
  <si>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</si>
  <si>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</si>
  <si>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</si>
  <si>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</si>
  <si>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</si>
  <si>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</si>
  <si>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</si>
  <si>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</si>
  <si>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</si>
  <si>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</si>
  <si>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</si>
  <si>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</si>
  <si>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</si>
  <si>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</si>
  <si>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</si>
  <si>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</si>
  <si>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</si>
  <si>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</si>
  <si>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</si>
  <si>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Shaker Regional School District</t>
  </si>
  <si>
    <t>8/97</t>
  </si>
  <si>
    <t>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</si>
</sst>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486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112867.78</v>
      </c>
      <c r="G9" s="18"/>
      <c r="H9" s="18"/>
      <c r="I9" s="18"/>
      <c r="J9" s="67">
        <f>SUM(I438)</f>
        <v>486287.07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1979.69</v>
      </c>
      <c r="G10" s="18">
        <v>4774.1099999999997</v>
      </c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546590.83+19038.98+160.36</f>
        <v>565790.16999999993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145922.97</v>
      </c>
      <c r="G13" s="18">
        <v>18775.759999999998</v>
      </c>
      <c r="H13" s="18">
        <v>650759.22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910.56</v>
      </c>
      <c r="G14" s="18">
        <v>1681.15</v>
      </c>
      <c r="H14" s="18">
        <v>2179.79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3413.74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830884.90999999992</v>
      </c>
      <c r="G19" s="41">
        <f>SUM(G9:G18)</f>
        <v>25231.02</v>
      </c>
      <c r="H19" s="41">
        <f>SUM(H9:H18)</f>
        <v>652939.01</v>
      </c>
      <c r="I19" s="41">
        <f>SUM(I9:I18)</f>
        <v>0</v>
      </c>
      <c r="J19" s="41">
        <f>SUM(J9:J18)</f>
        <v>486287.07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103848.84-84809.86</f>
        <v>19038.979999999996</v>
      </c>
      <c r="H22" s="18">
        <v>546590.82999999996</v>
      </c>
      <c r="I22" s="18"/>
      <c r="J22" s="67">
        <f>SUM(I447)</f>
        <v>108544.14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73422.86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43272.79</v>
      </c>
      <c r="G24" s="18">
        <v>41.99</v>
      </c>
      <c r="H24" s="18">
        <v>82373.240000000005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7209.7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6150.05</v>
      </c>
      <c r="H30" s="18">
        <v>23974.94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123905.34999999999</v>
      </c>
      <c r="G32" s="41">
        <f>SUM(G22:G31)</f>
        <v>25231.019999999997</v>
      </c>
      <c r="H32" s="41">
        <f>SUM(H22:H31)</f>
        <v>652939.00999999989</v>
      </c>
      <c r="I32" s="41">
        <f>SUM(I22:I31)</f>
        <v>0</v>
      </c>
      <c r="J32" s="41">
        <f>SUM(J22:J31)</f>
        <v>108544.14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>
        <v>90086.16</v>
      </c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f>200000+164853</f>
        <v>364853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377742.93000000005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706979.56-90086.16-200000-164853</f>
        <v>252040.40000000002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706979.56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377742.93000000005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830884.91</v>
      </c>
      <c r="G51" s="41">
        <f>G50+G32</f>
        <v>25231.019999999997</v>
      </c>
      <c r="H51" s="41">
        <f>H50+H32</f>
        <v>652939.00999999989</v>
      </c>
      <c r="I51" s="41">
        <f>I50+I32</f>
        <v>0</v>
      </c>
      <c r="J51" s="41">
        <f>J50+J32</f>
        <v>486287.07000000007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3113407+7606911</f>
        <v>10720318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10720318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4996.4799999999996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3131.5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278.89999999999998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8406.8799999999992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f>858.11+7.7</f>
        <v>865.81000000000006</v>
      </c>
      <c r="G95" s="18">
        <v>12.12</v>
      </c>
      <c r="H95" s="18"/>
      <c r="I95" s="18"/>
      <c r="J95" s="18">
        <f>433.87+5.46</f>
        <v>439.33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273501.46999999997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37950.01</v>
      </c>
      <c r="G109" s="18"/>
      <c r="H109" s="18">
        <v>58412.26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38815.82</v>
      </c>
      <c r="G110" s="41">
        <f>SUM(G95:G109)</f>
        <v>273513.58999999997</v>
      </c>
      <c r="H110" s="41">
        <f>SUM(H95:H109)</f>
        <v>58412.26</v>
      </c>
      <c r="I110" s="41">
        <f>SUM(I95:I109)</f>
        <v>0</v>
      </c>
      <c r="J110" s="41">
        <f>SUM(J95:J109)</f>
        <v>439.33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10767540.700000001</v>
      </c>
      <c r="G111" s="41">
        <f>G59+G110</f>
        <v>273513.58999999997</v>
      </c>
      <c r="H111" s="41">
        <f>H59+H78+H93+H110</f>
        <v>58412.26</v>
      </c>
      <c r="I111" s="41">
        <f>I59+I110</f>
        <v>0</v>
      </c>
      <c r="J111" s="41">
        <f>J59+J110</f>
        <v>439.33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4594723.9800000004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2320634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3981.02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6919339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287520.32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79309.98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12923.53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7897.57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17108.400000000001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396862.23000000004</v>
      </c>
      <c r="G135" s="41">
        <f>SUM(G122:G134)</f>
        <v>7897.57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7316201.2300000004</v>
      </c>
      <c r="G139" s="41">
        <f>G120+SUM(G135:G136)</f>
        <v>7897.57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148718.96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148718.96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49444.4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1189494.72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295393.40999999997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15406.58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158575.22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158575.22</v>
      </c>
      <c r="G161" s="41">
        <f>SUM(G149:G160)</f>
        <v>295393.40999999997</v>
      </c>
      <c r="H161" s="41">
        <f>SUM(H149:H160)</f>
        <v>1254345.7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307294.18</v>
      </c>
      <c r="G168" s="41">
        <f>G146+G161+SUM(G162:G167)</f>
        <v>295393.40999999997</v>
      </c>
      <c r="H168" s="41">
        <f>H146+H161+SUM(H162:H167)</f>
        <v>1254345.7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84809.86</v>
      </c>
      <c r="H178" s="18"/>
      <c r="I178" s="18"/>
      <c r="J178" s="18">
        <v>294691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84809.86</v>
      </c>
      <c r="H182" s="41">
        <f>SUM(H178:H181)</f>
        <v>0</v>
      </c>
      <c r="I182" s="41">
        <f>SUM(I178:I181)</f>
        <v>0</v>
      </c>
      <c r="J182" s="41">
        <f>SUM(J178:J181)</f>
        <v>294691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119778.35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180414.14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300192.49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300192.49</v>
      </c>
      <c r="G191" s="41">
        <f>G182+SUM(G187:G190)</f>
        <v>84809.86</v>
      </c>
      <c r="H191" s="41">
        <f>+H182+SUM(H187:H190)</f>
        <v>0</v>
      </c>
      <c r="I191" s="41">
        <f>I176+I182+SUM(I187:I190)</f>
        <v>0</v>
      </c>
      <c r="J191" s="41">
        <f>J182</f>
        <v>294691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18691228.599999998</v>
      </c>
      <c r="G192" s="47">
        <f>G111+G139+G168+G191</f>
        <v>661614.42999999993</v>
      </c>
      <c r="H192" s="47">
        <f>H111+H139+H168+H191</f>
        <v>1312757.96</v>
      </c>
      <c r="I192" s="47">
        <f>I111+I139+I168+I191</f>
        <v>0</v>
      </c>
      <c r="J192" s="47">
        <f>J111+J139+J191</f>
        <v>295130.33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1977217.77</v>
      </c>
      <c r="G196" s="18">
        <v>807913.74</v>
      </c>
      <c r="H196" s="18">
        <v>2768.17</v>
      </c>
      <c r="I196" s="18">
        <v>68770.28</v>
      </c>
      <c r="J196" s="18">
        <v>3844.21</v>
      </c>
      <c r="K196" s="18"/>
      <c r="L196" s="19">
        <f>SUM(F196:K196)</f>
        <v>2860514.1699999995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503546.41</v>
      </c>
      <c r="G197" s="18">
        <v>209879.05</v>
      </c>
      <c r="H197" s="18">
        <v>18043.900000000001</v>
      </c>
      <c r="I197" s="18">
        <v>1082.6500000000001</v>
      </c>
      <c r="J197" s="18">
        <v>11976</v>
      </c>
      <c r="K197" s="18"/>
      <c r="L197" s="19">
        <f>SUM(F197:K197)</f>
        <v>744528.01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25653.64</v>
      </c>
      <c r="G199" s="18">
        <v>4297.24</v>
      </c>
      <c r="H199" s="18">
        <v>7100</v>
      </c>
      <c r="I199" s="18">
        <v>32.369999999999997</v>
      </c>
      <c r="J199" s="18"/>
      <c r="K199" s="18"/>
      <c r="L199" s="19">
        <f>SUM(F199:K199)</f>
        <v>37083.25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464008.35</v>
      </c>
      <c r="G201" s="18">
        <v>196480.02</v>
      </c>
      <c r="H201" s="18">
        <v>104555.68</v>
      </c>
      <c r="I201" s="18">
        <v>4378.17</v>
      </c>
      <c r="J201" s="18">
        <v>387.03</v>
      </c>
      <c r="K201" s="18">
        <v>360.37</v>
      </c>
      <c r="L201" s="19">
        <f t="shared" ref="L201:L207" si="0">SUM(F201:K201)</f>
        <v>770169.62000000011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161342.42000000001</v>
      </c>
      <c r="G202" s="18">
        <v>97697.12</v>
      </c>
      <c r="H202" s="18">
        <v>27041.42</v>
      </c>
      <c r="I202" s="18">
        <v>7532.58</v>
      </c>
      <c r="J202" s="18">
        <v>41826.36</v>
      </c>
      <c r="K202" s="18">
        <v>582.84</v>
      </c>
      <c r="L202" s="19">
        <f t="shared" si="0"/>
        <v>336022.74000000005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63157.05</v>
      </c>
      <c r="G203" s="18">
        <v>17637.060000000001</v>
      </c>
      <c r="H203" s="18">
        <v>34456.85</v>
      </c>
      <c r="I203" s="18">
        <v>2369.71</v>
      </c>
      <c r="J203" s="18"/>
      <c r="K203" s="18">
        <v>5029.95</v>
      </c>
      <c r="L203" s="19">
        <f t="shared" si="0"/>
        <v>122650.62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300886.2</v>
      </c>
      <c r="G204" s="18">
        <v>99869.52</v>
      </c>
      <c r="H204" s="18">
        <v>15902.92</v>
      </c>
      <c r="I204" s="18">
        <v>3563.81</v>
      </c>
      <c r="J204" s="18">
        <v>171.5</v>
      </c>
      <c r="K204" s="18">
        <v>2160</v>
      </c>
      <c r="L204" s="19">
        <f t="shared" si="0"/>
        <v>422553.95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72771.100000000006</v>
      </c>
      <c r="G205" s="18">
        <v>19565.34</v>
      </c>
      <c r="H205" s="18">
        <v>10631.34</v>
      </c>
      <c r="I205" s="18">
        <v>834.63</v>
      </c>
      <c r="J205" s="18">
        <v>4329.92</v>
      </c>
      <c r="K205" s="18">
        <v>200.27</v>
      </c>
      <c r="L205" s="19">
        <f t="shared" si="0"/>
        <v>108332.6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168230.87</v>
      </c>
      <c r="G206" s="18">
        <v>50524.45</v>
      </c>
      <c r="H206" s="18">
        <v>109145.31</v>
      </c>
      <c r="I206" s="18">
        <v>175591</v>
      </c>
      <c r="J206" s="18">
        <v>13254.36</v>
      </c>
      <c r="K206" s="18"/>
      <c r="L206" s="19">
        <f t="shared" si="0"/>
        <v>516745.99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379065.18</v>
      </c>
      <c r="I207" s="18"/>
      <c r="J207" s="18"/>
      <c r="K207" s="18"/>
      <c r="L207" s="19">
        <f t="shared" si="0"/>
        <v>379065.18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3736813.8100000005</v>
      </c>
      <c r="G210" s="41">
        <f t="shared" si="1"/>
        <v>1503863.54</v>
      </c>
      <c r="H210" s="41">
        <f t="shared" si="1"/>
        <v>708710.77</v>
      </c>
      <c r="I210" s="41">
        <f t="shared" si="1"/>
        <v>264155.2</v>
      </c>
      <c r="J210" s="41">
        <f t="shared" si="1"/>
        <v>75789.38</v>
      </c>
      <c r="K210" s="41">
        <f t="shared" si="1"/>
        <v>8333.43</v>
      </c>
      <c r="L210" s="41">
        <f t="shared" si="1"/>
        <v>6297666.1299999999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1880173.51</v>
      </c>
      <c r="G214" s="18">
        <v>766457</v>
      </c>
      <c r="H214" s="18">
        <v>1607.19</v>
      </c>
      <c r="I214" s="18">
        <v>50290.16</v>
      </c>
      <c r="J214" s="18">
        <v>1561.92</v>
      </c>
      <c r="K214" s="18"/>
      <c r="L214" s="19">
        <f>SUM(F214:K214)</f>
        <v>2700089.78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388040.12</v>
      </c>
      <c r="G215" s="18">
        <v>161126.32</v>
      </c>
      <c r="H215" s="18">
        <v>376028.86</v>
      </c>
      <c r="I215" s="18">
        <v>11062.25</v>
      </c>
      <c r="J215" s="18">
        <v>140.62</v>
      </c>
      <c r="K215" s="18">
        <v>670</v>
      </c>
      <c r="L215" s="19">
        <f>SUM(F215:K215)</f>
        <v>937068.16999999993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41887.440000000002</v>
      </c>
      <c r="G217" s="18">
        <v>6424.92</v>
      </c>
      <c r="H217" s="18">
        <v>8152.61</v>
      </c>
      <c r="I217" s="18">
        <v>6350.58</v>
      </c>
      <c r="J217" s="18">
        <v>5447.95</v>
      </c>
      <c r="K217" s="18">
        <v>2954</v>
      </c>
      <c r="L217" s="19">
        <f>SUM(F217:K217)</f>
        <v>71217.5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325172.74</v>
      </c>
      <c r="G219" s="18">
        <v>136048.07</v>
      </c>
      <c r="H219" s="18">
        <v>43746.76</v>
      </c>
      <c r="I219" s="18">
        <v>5431.77</v>
      </c>
      <c r="J219" s="18">
        <v>1215.02</v>
      </c>
      <c r="K219" s="18">
        <v>186.2</v>
      </c>
      <c r="L219" s="19">
        <f t="shared" ref="L219:L225" si="2">SUM(F219:K219)</f>
        <v>511800.56000000006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110607.99</v>
      </c>
      <c r="G220" s="18">
        <v>66408.179999999993</v>
      </c>
      <c r="H220" s="18">
        <v>20258.25</v>
      </c>
      <c r="I220" s="18">
        <v>9437.39</v>
      </c>
      <c r="J220" s="18">
        <v>35113.25</v>
      </c>
      <c r="K220" s="18">
        <v>491.42</v>
      </c>
      <c r="L220" s="19">
        <f t="shared" si="2"/>
        <v>242316.48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53251.08</v>
      </c>
      <c r="G221" s="18">
        <v>14870.77</v>
      </c>
      <c r="H221" s="18">
        <v>29080.91</v>
      </c>
      <c r="I221" s="18">
        <v>1998.03</v>
      </c>
      <c r="J221" s="18"/>
      <c r="K221" s="18">
        <v>4241.01</v>
      </c>
      <c r="L221" s="19">
        <f t="shared" si="2"/>
        <v>103441.8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222434.86</v>
      </c>
      <c r="G222" s="18">
        <v>87146.84</v>
      </c>
      <c r="H222" s="18">
        <v>14188.41</v>
      </c>
      <c r="I222" s="18">
        <v>2066.79</v>
      </c>
      <c r="J222" s="18">
        <v>240.12</v>
      </c>
      <c r="K222" s="18">
        <v>450</v>
      </c>
      <c r="L222" s="19">
        <f t="shared" si="2"/>
        <v>326527.0199999999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61357.2</v>
      </c>
      <c r="G223" s="18">
        <v>16496.580000000002</v>
      </c>
      <c r="H223" s="18">
        <v>8963.85</v>
      </c>
      <c r="I223" s="18">
        <v>703.73</v>
      </c>
      <c r="J223" s="18">
        <v>3650.79</v>
      </c>
      <c r="K223" s="18">
        <v>168.86</v>
      </c>
      <c r="L223" s="19">
        <f t="shared" si="2"/>
        <v>91341.01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182184.6</v>
      </c>
      <c r="G224" s="18">
        <v>70333.38</v>
      </c>
      <c r="H224" s="18">
        <v>87241.04</v>
      </c>
      <c r="I224" s="18">
        <v>148050.20000000001</v>
      </c>
      <c r="J224" s="18">
        <v>11175.46</v>
      </c>
      <c r="K224" s="18"/>
      <c r="L224" s="19">
        <f t="shared" si="2"/>
        <v>498984.68000000005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359787.5</v>
      </c>
      <c r="I225" s="18"/>
      <c r="J225" s="18"/>
      <c r="K225" s="18"/>
      <c r="L225" s="19">
        <f t="shared" si="2"/>
        <v>359787.5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3265109.54</v>
      </c>
      <c r="G228" s="41">
        <f>SUM(G214:G227)</f>
        <v>1325312.06</v>
      </c>
      <c r="H228" s="41">
        <f>SUM(H214:H227)</f>
        <v>949055.37999999989</v>
      </c>
      <c r="I228" s="41">
        <f>SUM(I214:I227)</f>
        <v>235390.90000000002</v>
      </c>
      <c r="J228" s="41">
        <f>SUM(J214:J227)</f>
        <v>58545.130000000005</v>
      </c>
      <c r="K228" s="41">
        <f t="shared" si="3"/>
        <v>9161.4900000000016</v>
      </c>
      <c r="L228" s="41">
        <f t="shared" si="3"/>
        <v>5842574.4999999991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1754248.43</v>
      </c>
      <c r="G232" s="18">
        <v>716480.89</v>
      </c>
      <c r="H232" s="18">
        <v>17874.95</v>
      </c>
      <c r="I232" s="18">
        <v>49766.52</v>
      </c>
      <c r="J232" s="18">
        <v>8567.3799999999992</v>
      </c>
      <c r="K232" s="18"/>
      <c r="L232" s="19">
        <f>SUM(F232:K232)</f>
        <v>2546938.17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211711.02</v>
      </c>
      <c r="G233" s="18">
        <v>88135.53</v>
      </c>
      <c r="H233" s="18">
        <v>98130.91</v>
      </c>
      <c r="I233" s="18">
        <v>7597.63</v>
      </c>
      <c r="J233" s="18"/>
      <c r="K233" s="18"/>
      <c r="L233" s="19">
        <f>SUM(F233:K233)</f>
        <v>405575.08999999997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175923.13</v>
      </c>
      <c r="I234" s="18"/>
      <c r="J234" s="18"/>
      <c r="K234" s="18"/>
      <c r="L234" s="19">
        <f>SUM(F234:K234)</f>
        <v>175923.13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128651.24</v>
      </c>
      <c r="G235" s="18">
        <v>28430.44</v>
      </c>
      <c r="H235" s="18">
        <v>21945.62</v>
      </c>
      <c r="I235" s="18">
        <v>11820.95</v>
      </c>
      <c r="J235" s="18">
        <v>599</v>
      </c>
      <c r="K235" s="18">
        <v>10556</v>
      </c>
      <c r="L235" s="19">
        <f>SUM(F235:K235)</f>
        <v>202003.25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302318.55</v>
      </c>
      <c r="G237" s="18">
        <v>126228.13</v>
      </c>
      <c r="H237" s="18">
        <v>10302.51</v>
      </c>
      <c r="I237" s="18">
        <v>5119.66</v>
      </c>
      <c r="J237" s="18">
        <v>1092.26</v>
      </c>
      <c r="K237" s="18">
        <v>123.43</v>
      </c>
      <c r="L237" s="19">
        <f t="shared" ref="L237:L243" si="4">SUM(F237:K237)</f>
        <v>445184.54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103757.94</v>
      </c>
      <c r="G238" s="18">
        <v>58778.44</v>
      </c>
      <c r="H238" s="18">
        <v>21924.98</v>
      </c>
      <c r="I238" s="18">
        <v>8776.14</v>
      </c>
      <c r="J238" s="18">
        <v>37843.550000000003</v>
      </c>
      <c r="K238" s="18">
        <v>538.02</v>
      </c>
      <c r="L238" s="19">
        <f t="shared" si="4"/>
        <v>231619.06999999998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58300.15</v>
      </c>
      <c r="G239" s="18">
        <v>16280.76</v>
      </c>
      <c r="H239" s="18">
        <v>31742.47</v>
      </c>
      <c r="I239" s="18">
        <v>2187.4699999999998</v>
      </c>
      <c r="J239" s="18"/>
      <c r="K239" s="18">
        <v>4643.1400000000003</v>
      </c>
      <c r="L239" s="19">
        <f t="shared" si="4"/>
        <v>113153.99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222654.15</v>
      </c>
      <c r="G240" s="18">
        <v>96164.73</v>
      </c>
      <c r="H240" s="18">
        <v>19983.52</v>
      </c>
      <c r="I240" s="18">
        <v>658.71</v>
      </c>
      <c r="J240" s="18"/>
      <c r="K240" s="18">
        <v>13371.9</v>
      </c>
      <c r="L240" s="19">
        <f t="shared" si="4"/>
        <v>352833.01000000007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67174.86</v>
      </c>
      <c r="G241" s="18">
        <v>18060.72</v>
      </c>
      <c r="H241" s="18">
        <v>9813.76</v>
      </c>
      <c r="I241" s="18">
        <v>770.45</v>
      </c>
      <c r="J241" s="18">
        <v>3996.94</v>
      </c>
      <c r="K241" s="18">
        <v>184.87</v>
      </c>
      <c r="L241" s="19">
        <f t="shared" si="4"/>
        <v>100001.59999999999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125925.81</v>
      </c>
      <c r="G242" s="18">
        <v>46613.58</v>
      </c>
      <c r="H242" s="18">
        <v>93590.95</v>
      </c>
      <c r="I242" s="18">
        <v>162087.76</v>
      </c>
      <c r="J242" s="18">
        <v>12235.07</v>
      </c>
      <c r="K242" s="18"/>
      <c r="L242" s="19">
        <f t="shared" si="4"/>
        <v>440453.17000000004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238616.86</v>
      </c>
      <c r="I243" s="18"/>
      <c r="J243" s="18"/>
      <c r="K243" s="18"/>
      <c r="L243" s="19">
        <f t="shared" si="4"/>
        <v>238616.86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2974742.1499999994</v>
      </c>
      <c r="G246" s="41">
        <f t="shared" si="5"/>
        <v>1195173.22</v>
      </c>
      <c r="H246" s="41">
        <f t="shared" si="5"/>
        <v>739849.65999999992</v>
      </c>
      <c r="I246" s="41">
        <f t="shared" si="5"/>
        <v>248785.29</v>
      </c>
      <c r="J246" s="41">
        <f t="shared" si="5"/>
        <v>64334.200000000004</v>
      </c>
      <c r="K246" s="41">
        <f t="shared" si="5"/>
        <v>29417.359999999997</v>
      </c>
      <c r="L246" s="41">
        <f t="shared" si="5"/>
        <v>5252301.88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5356.18</v>
      </c>
      <c r="G252" s="18">
        <v>1682.05</v>
      </c>
      <c r="H252" s="18"/>
      <c r="I252" s="18">
        <v>1617.81</v>
      </c>
      <c r="J252" s="18"/>
      <c r="K252" s="18"/>
      <c r="L252" s="19">
        <f t="shared" si="6"/>
        <v>8656.0400000000009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103402.5</v>
      </c>
      <c r="I254" s="18"/>
      <c r="J254" s="18"/>
      <c r="K254" s="18"/>
      <c r="L254" s="19">
        <f t="shared" si="6"/>
        <v>103402.5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5356.18</v>
      </c>
      <c r="G255" s="41">
        <f t="shared" si="7"/>
        <v>1682.05</v>
      </c>
      <c r="H255" s="41">
        <f t="shared" si="7"/>
        <v>103402.5</v>
      </c>
      <c r="I255" s="41">
        <f t="shared" si="7"/>
        <v>1617.81</v>
      </c>
      <c r="J255" s="41">
        <f t="shared" si="7"/>
        <v>0</v>
      </c>
      <c r="K255" s="41">
        <f t="shared" si="7"/>
        <v>0</v>
      </c>
      <c r="L255" s="41">
        <f>SUM(F255:K255)</f>
        <v>112058.54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9982021.6799999997</v>
      </c>
      <c r="G256" s="41">
        <f t="shared" si="8"/>
        <v>4026030.87</v>
      </c>
      <c r="H256" s="41">
        <f t="shared" si="8"/>
        <v>2501018.3099999996</v>
      </c>
      <c r="I256" s="41">
        <f t="shared" si="8"/>
        <v>749949.20000000007</v>
      </c>
      <c r="J256" s="41">
        <f t="shared" si="8"/>
        <v>198668.71000000002</v>
      </c>
      <c r="K256" s="41">
        <f t="shared" si="8"/>
        <v>46912.28</v>
      </c>
      <c r="L256" s="41">
        <f t="shared" si="8"/>
        <v>17504601.049999997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500000</v>
      </c>
      <c r="L259" s="19">
        <f>SUM(F259:K259)</f>
        <v>500000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36000</v>
      </c>
      <c r="L260" s="19">
        <f>SUM(F260:K260)</f>
        <v>36000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84809.86</v>
      </c>
      <c r="L262" s="19">
        <f>SUM(F262:K262)</f>
        <v>84809.86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294691</v>
      </c>
      <c r="L265" s="19">
        <f t="shared" si="9"/>
        <v>294691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915500.86</v>
      </c>
      <c r="L269" s="41">
        <f t="shared" si="9"/>
        <v>915500.86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9982021.6799999997</v>
      </c>
      <c r="G270" s="42">
        <f t="shared" si="11"/>
        <v>4026030.87</v>
      </c>
      <c r="H270" s="42">
        <f t="shared" si="11"/>
        <v>2501018.3099999996</v>
      </c>
      <c r="I270" s="42">
        <f t="shared" si="11"/>
        <v>749949.20000000007</v>
      </c>
      <c r="J270" s="42">
        <f t="shared" si="11"/>
        <v>198668.71000000002</v>
      </c>
      <c r="K270" s="42">
        <f t="shared" si="11"/>
        <v>962413.14</v>
      </c>
      <c r="L270" s="42">
        <f t="shared" si="11"/>
        <v>18420101.909999996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33864</v>
      </c>
      <c r="G275" s="18">
        <v>6811.94</v>
      </c>
      <c r="H275" s="18"/>
      <c r="I275" s="18">
        <v>100</v>
      </c>
      <c r="J275" s="18">
        <v>3709.6</v>
      </c>
      <c r="K275" s="18"/>
      <c r="L275" s="19">
        <f>SUM(F275:K275)</f>
        <v>44485.54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132626.28</v>
      </c>
      <c r="G276" s="18">
        <v>46735.49</v>
      </c>
      <c r="H276" s="18">
        <v>44</v>
      </c>
      <c r="I276" s="18">
        <v>15754.21</v>
      </c>
      <c r="J276" s="18">
        <v>40028.910000000003</v>
      </c>
      <c r="K276" s="18"/>
      <c r="L276" s="19">
        <f>SUM(F276:K276)</f>
        <v>235188.88999999998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9030</v>
      </c>
      <c r="G278" s="18">
        <v>1427.4</v>
      </c>
      <c r="H278" s="18"/>
      <c r="I278" s="18"/>
      <c r="J278" s="18"/>
      <c r="K278" s="18"/>
      <c r="L278" s="19">
        <f>SUM(F278:K278)</f>
        <v>10457.4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3976.5</v>
      </c>
      <c r="G280" s="18">
        <v>860.97</v>
      </c>
      <c r="H280" s="18"/>
      <c r="I280" s="18">
        <v>208.93</v>
      </c>
      <c r="J280" s="18"/>
      <c r="K280" s="18"/>
      <c r="L280" s="19">
        <f t="shared" ref="L280:L286" si="12">SUM(F280:K280)</f>
        <v>5046.4000000000005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8965.2000000000007</v>
      </c>
      <c r="G281" s="18">
        <v>1648.67</v>
      </c>
      <c r="H281" s="18">
        <v>14995.01</v>
      </c>
      <c r="I281" s="18">
        <v>3655.38</v>
      </c>
      <c r="J281" s="18">
        <v>1476.36</v>
      </c>
      <c r="K281" s="18"/>
      <c r="L281" s="19">
        <f t="shared" si="12"/>
        <v>30740.620000000003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4856.3999999999996</v>
      </c>
      <c r="I286" s="18"/>
      <c r="J286" s="18"/>
      <c r="K286" s="18"/>
      <c r="L286" s="19">
        <f t="shared" si="12"/>
        <v>4856.3999999999996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188461.98</v>
      </c>
      <c r="G289" s="42">
        <f t="shared" si="13"/>
        <v>57484.47</v>
      </c>
      <c r="H289" s="42">
        <f t="shared" si="13"/>
        <v>19895.41</v>
      </c>
      <c r="I289" s="42">
        <f t="shared" si="13"/>
        <v>19718.52</v>
      </c>
      <c r="J289" s="42">
        <f t="shared" si="13"/>
        <v>45214.87</v>
      </c>
      <c r="K289" s="42">
        <f t="shared" si="13"/>
        <v>0</v>
      </c>
      <c r="L289" s="41">
        <f t="shared" si="13"/>
        <v>330775.25000000006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9130</v>
      </c>
      <c r="G294" s="18">
        <v>1557.6</v>
      </c>
      <c r="H294" s="18"/>
      <c r="I294" s="18"/>
      <c r="J294" s="18"/>
      <c r="K294" s="18"/>
      <c r="L294" s="19">
        <f>SUM(F294:K294)</f>
        <v>10687.6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180297.44</v>
      </c>
      <c r="G295" s="18">
        <v>119391.61</v>
      </c>
      <c r="H295" s="18">
        <v>44</v>
      </c>
      <c r="I295" s="18">
        <v>8093.29</v>
      </c>
      <c r="J295" s="18">
        <v>35044.519999999997</v>
      </c>
      <c r="K295" s="18"/>
      <c r="L295" s="19">
        <f>SUM(F295:K295)</f>
        <v>342870.86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4500</v>
      </c>
      <c r="G297" s="18">
        <v>768.16</v>
      </c>
      <c r="H297" s="18">
        <v>5216.3999999999996</v>
      </c>
      <c r="I297" s="18"/>
      <c r="J297" s="18"/>
      <c r="K297" s="18">
        <v>723.55</v>
      </c>
      <c r="L297" s="19">
        <f>SUM(F297:K297)</f>
        <v>11208.109999999999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3352.8</v>
      </c>
      <c r="G299" s="18">
        <v>725.93</v>
      </c>
      <c r="H299" s="18">
        <v>21724.54</v>
      </c>
      <c r="I299" s="18">
        <v>208.93</v>
      </c>
      <c r="J299" s="18"/>
      <c r="K299" s="18"/>
      <c r="L299" s="19">
        <f t="shared" ref="L299:L305" si="14">SUM(F299:K299)</f>
        <v>26012.2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7559.04</v>
      </c>
      <c r="G300" s="18">
        <v>1390.09</v>
      </c>
      <c r="H300" s="18">
        <v>18569.89</v>
      </c>
      <c r="I300" s="18">
        <v>8108.19</v>
      </c>
      <c r="J300" s="18">
        <v>1244.79</v>
      </c>
      <c r="K300" s="18"/>
      <c r="L300" s="19">
        <f t="shared" si="14"/>
        <v>36872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204839.28</v>
      </c>
      <c r="G308" s="42">
        <f t="shared" si="15"/>
        <v>123833.39</v>
      </c>
      <c r="H308" s="42">
        <f t="shared" si="15"/>
        <v>45554.83</v>
      </c>
      <c r="I308" s="42">
        <f t="shared" si="15"/>
        <v>16410.41</v>
      </c>
      <c r="J308" s="42">
        <f t="shared" si="15"/>
        <v>36289.31</v>
      </c>
      <c r="K308" s="42">
        <f t="shared" si="15"/>
        <v>723.55</v>
      </c>
      <c r="L308" s="41">
        <f t="shared" si="15"/>
        <v>427650.76999999996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>
        <v>74.989999999999995</v>
      </c>
      <c r="J313" s="18"/>
      <c r="K313" s="18"/>
      <c r="L313" s="19">
        <f>SUM(F313:K313)</f>
        <v>74.989999999999995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1362.63</v>
      </c>
      <c r="G314" s="18"/>
      <c r="H314" s="18">
        <v>5154.75</v>
      </c>
      <c r="I314" s="18">
        <v>14637.09</v>
      </c>
      <c r="J314" s="18">
        <v>15485.05</v>
      </c>
      <c r="K314" s="18"/>
      <c r="L314" s="19">
        <f>SUM(F314:K314)</f>
        <v>36639.520000000004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10848.1</v>
      </c>
      <c r="G316" s="18">
        <v>1745.46</v>
      </c>
      <c r="H316" s="18">
        <v>13750.52</v>
      </c>
      <c r="I316" s="18"/>
      <c r="J316" s="18"/>
      <c r="K316" s="18">
        <v>1193.08</v>
      </c>
      <c r="L316" s="19">
        <f>SUM(F316:K316)</f>
        <v>27537.160000000003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3670.7</v>
      </c>
      <c r="G318" s="18">
        <v>794.76</v>
      </c>
      <c r="H318" s="18">
        <v>1750.32</v>
      </c>
      <c r="I318" s="18"/>
      <c r="J318" s="18"/>
      <c r="K318" s="18"/>
      <c r="L318" s="19">
        <f t="shared" ref="L318:L324" si="16">SUM(F318:K318)</f>
        <v>6215.78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8275.76</v>
      </c>
      <c r="G319" s="18">
        <v>1521.89</v>
      </c>
      <c r="H319" s="18">
        <v>6047.87</v>
      </c>
      <c r="I319" s="18"/>
      <c r="J319" s="18">
        <v>1362.82</v>
      </c>
      <c r="K319" s="18"/>
      <c r="L319" s="19">
        <f t="shared" si="16"/>
        <v>17208.34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3331.15</v>
      </c>
      <c r="I324" s="18"/>
      <c r="J324" s="18"/>
      <c r="K324" s="18"/>
      <c r="L324" s="19">
        <f t="shared" si="16"/>
        <v>3331.15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24157.190000000002</v>
      </c>
      <c r="G327" s="42">
        <f t="shared" si="17"/>
        <v>4062.1100000000006</v>
      </c>
      <c r="H327" s="42">
        <f t="shared" si="17"/>
        <v>30034.61</v>
      </c>
      <c r="I327" s="42">
        <f t="shared" si="17"/>
        <v>14712.08</v>
      </c>
      <c r="J327" s="42">
        <f t="shared" si="17"/>
        <v>16847.87</v>
      </c>
      <c r="K327" s="42">
        <f t="shared" si="17"/>
        <v>1193.08</v>
      </c>
      <c r="L327" s="41">
        <f t="shared" si="17"/>
        <v>91006.94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>
        <v>463325</v>
      </c>
      <c r="I335" s="18"/>
      <c r="J335" s="18"/>
      <c r="K335" s="18"/>
      <c r="L335" s="19">
        <f t="shared" si="18"/>
        <v>463325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463325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463325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417458.45</v>
      </c>
      <c r="G337" s="41">
        <f t="shared" si="20"/>
        <v>185379.96999999997</v>
      </c>
      <c r="H337" s="41">
        <f t="shared" si="20"/>
        <v>558809.85</v>
      </c>
      <c r="I337" s="41">
        <f t="shared" si="20"/>
        <v>50841.01</v>
      </c>
      <c r="J337" s="41">
        <f t="shared" si="20"/>
        <v>98352.049999999988</v>
      </c>
      <c r="K337" s="41">
        <f t="shared" si="20"/>
        <v>1916.6299999999999</v>
      </c>
      <c r="L337" s="41">
        <f t="shared" si="20"/>
        <v>1312757.96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417458.45</v>
      </c>
      <c r="G351" s="41">
        <f>G337</f>
        <v>185379.96999999997</v>
      </c>
      <c r="H351" s="41">
        <f>H337</f>
        <v>558809.85</v>
      </c>
      <c r="I351" s="41">
        <f>I337</f>
        <v>50841.01</v>
      </c>
      <c r="J351" s="41">
        <f>J337</f>
        <v>98352.049999999988</v>
      </c>
      <c r="K351" s="47">
        <f>K337+K350</f>
        <v>1916.6299999999999</v>
      </c>
      <c r="L351" s="41">
        <f>L337+L350</f>
        <v>1312757.96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99283.09</v>
      </c>
      <c r="G357" s="18">
        <v>45853.45</v>
      </c>
      <c r="H357" s="18">
        <v>3498.29</v>
      </c>
      <c r="I357" s="18">
        <v>81930.490000000005</v>
      </c>
      <c r="J357" s="18"/>
      <c r="K357" s="18"/>
      <c r="L357" s="13">
        <f>SUM(F357:K357)</f>
        <v>230565.32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67396.77</v>
      </c>
      <c r="G358" s="18">
        <v>38743.96</v>
      </c>
      <c r="H358" s="18">
        <v>4593.12</v>
      </c>
      <c r="I358" s="18">
        <v>85245.440000000002</v>
      </c>
      <c r="J358" s="18"/>
      <c r="K358" s="18"/>
      <c r="L358" s="19">
        <f>SUM(F358:K358)</f>
        <v>195979.29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75123.83</v>
      </c>
      <c r="G359" s="18">
        <v>42149.99</v>
      </c>
      <c r="H359" s="18">
        <v>5046.63</v>
      </c>
      <c r="I359" s="18">
        <v>112139.42</v>
      </c>
      <c r="J359" s="18">
        <v>609.95000000000005</v>
      </c>
      <c r="K359" s="18"/>
      <c r="L359" s="19">
        <f>SUM(F359:K359)</f>
        <v>235069.82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241803.69</v>
      </c>
      <c r="G361" s="47">
        <f t="shared" si="22"/>
        <v>126747.4</v>
      </c>
      <c r="H361" s="47">
        <f t="shared" si="22"/>
        <v>13138.04</v>
      </c>
      <c r="I361" s="47">
        <f t="shared" si="22"/>
        <v>279315.34999999998</v>
      </c>
      <c r="J361" s="47">
        <f t="shared" si="22"/>
        <v>609.95000000000005</v>
      </c>
      <c r="K361" s="47">
        <f t="shared" si="22"/>
        <v>0</v>
      </c>
      <c r="L361" s="47">
        <f t="shared" si="22"/>
        <v>661614.42999999993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71683.31</v>
      </c>
      <c r="G366" s="18">
        <v>78694.06</v>
      </c>
      <c r="H366" s="18">
        <v>101134.59</v>
      </c>
      <c r="I366" s="56">
        <f>SUM(F366:H366)</f>
        <v>251511.96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10247.18</v>
      </c>
      <c r="G367" s="63">
        <v>6551.38</v>
      </c>
      <c r="H367" s="63">
        <v>11004.83</v>
      </c>
      <c r="I367" s="56">
        <f>SUM(F367:H367)</f>
        <v>27803.39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81930.489999999991</v>
      </c>
      <c r="G368" s="47">
        <f>SUM(G366:G367)</f>
        <v>85245.440000000002</v>
      </c>
      <c r="H368" s="47">
        <f>SUM(H366:H367)</f>
        <v>112139.42</v>
      </c>
      <c r="I368" s="47">
        <f>SUM(I366:I367)</f>
        <v>279315.34999999998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>
        <v>25000</v>
      </c>
      <c r="H386" s="18">
        <f>14.34+5.46</f>
        <v>19.8</v>
      </c>
      <c r="I386" s="18"/>
      <c r="J386" s="24" t="s">
        <v>289</v>
      </c>
      <c r="K386" s="24" t="s">
        <v>289</v>
      </c>
      <c r="L386" s="56">
        <f t="shared" ref="L386:L391" si="25">SUM(F386:K386)</f>
        <v>25019.8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25000</v>
      </c>
      <c r="H392" s="139">
        <f>SUM(H386:H391)</f>
        <v>19.8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25019.8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75000</v>
      </c>
      <c r="H395" s="18">
        <v>104.78</v>
      </c>
      <c r="I395" s="18"/>
      <c r="J395" s="24" t="s">
        <v>289</v>
      </c>
      <c r="K395" s="24" t="s">
        <v>289</v>
      </c>
      <c r="L395" s="56">
        <f t="shared" si="26"/>
        <v>75104.78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94691</v>
      </c>
      <c r="H396" s="18">
        <v>140.12</v>
      </c>
      <c r="I396" s="18"/>
      <c r="J396" s="24" t="s">
        <v>289</v>
      </c>
      <c r="K396" s="24" t="s">
        <v>289</v>
      </c>
      <c r="L396" s="56">
        <f t="shared" si="26"/>
        <v>94831.12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100000</v>
      </c>
      <c r="H398" s="18">
        <v>68.45</v>
      </c>
      <c r="I398" s="18"/>
      <c r="J398" s="24" t="s">
        <v>289</v>
      </c>
      <c r="K398" s="24" t="s">
        <v>289</v>
      </c>
      <c r="L398" s="56">
        <f t="shared" si="26"/>
        <v>100068.45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f>3.78+74.98+27.42</f>
        <v>106.18</v>
      </c>
      <c r="I399" s="18"/>
      <c r="J399" s="24" t="s">
        <v>289</v>
      </c>
      <c r="K399" s="24" t="s">
        <v>289</v>
      </c>
      <c r="L399" s="56">
        <f t="shared" si="26"/>
        <v>106.18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269691</v>
      </c>
      <c r="H400" s="47">
        <f>SUM(H394:H399)</f>
        <v>419.53000000000003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270110.52999999997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294691</v>
      </c>
      <c r="H407" s="47">
        <f>H392+H400+H406</f>
        <v>439.33000000000004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295130.32999999996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>
        <v>119778.35</v>
      </c>
      <c r="I412" s="18"/>
      <c r="J412" s="18"/>
      <c r="K412" s="18"/>
      <c r="L412" s="56">
        <f t="shared" ref="L412:L417" si="27">SUM(F412:K412)</f>
        <v>119778.35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119778.35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119778.35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271">
        <f>130000+55900</f>
        <v>185900</v>
      </c>
      <c r="L421" s="56">
        <f t="shared" si="29"/>
        <v>185900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271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271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271">
        <f>40000+52644.14</f>
        <v>92644.14</v>
      </c>
      <c r="L424" s="56">
        <f t="shared" si="29"/>
        <v>92644.14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271">
        <v>50000</v>
      </c>
      <c r="L425" s="56">
        <f t="shared" si="29"/>
        <v>50000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328544.14</v>
      </c>
      <c r="L426" s="47">
        <f t="shared" si="30"/>
        <v>328544.14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119778.35</v>
      </c>
      <c r="I433" s="47">
        <f t="shared" si="32"/>
        <v>0</v>
      </c>
      <c r="J433" s="47">
        <f t="shared" si="32"/>
        <v>0</v>
      </c>
      <c r="K433" s="47">
        <f t="shared" si="32"/>
        <v>328544.14</v>
      </c>
      <c r="L433" s="47">
        <f t="shared" si="32"/>
        <v>448322.49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25014.34</v>
      </c>
      <c r="G438" s="18">
        <v>461272.73</v>
      </c>
      <c r="H438" s="18"/>
      <c r="I438" s="56">
        <f t="shared" ref="I438:I444" si="33">SUM(F438:H438)</f>
        <v>486287.07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25014.34</v>
      </c>
      <c r="G445" s="13">
        <f>SUM(G438:G444)</f>
        <v>461272.73</v>
      </c>
      <c r="H445" s="13">
        <f>SUM(H438:H444)</f>
        <v>0</v>
      </c>
      <c r="I445" s="13">
        <f>SUM(I438:I444)</f>
        <v>486287.07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108544.14</v>
      </c>
      <c r="H447" s="18"/>
      <c r="I447" s="56">
        <f>SUM(F447:H447)</f>
        <v>108544.14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108544.14</v>
      </c>
      <c r="H451" s="72">
        <f>SUM(H447:H450)</f>
        <v>0</v>
      </c>
      <c r="I451" s="72">
        <f>SUM(I447:I450)</f>
        <v>108544.14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25014.34</v>
      </c>
      <c r="G458" s="18">
        <v>352728.59</v>
      </c>
      <c r="H458" s="18"/>
      <c r="I458" s="56">
        <f t="shared" si="34"/>
        <v>377742.93000000005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25014.34</v>
      </c>
      <c r="G459" s="83">
        <f>SUM(G453:G458)</f>
        <v>352728.59</v>
      </c>
      <c r="H459" s="83">
        <f>SUM(H453:H458)</f>
        <v>0</v>
      </c>
      <c r="I459" s="83">
        <f>SUM(I453:I458)</f>
        <v>377742.93000000005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25014.34</v>
      </c>
      <c r="G460" s="42">
        <f>G451+G459</f>
        <v>461272.73000000004</v>
      </c>
      <c r="H460" s="42">
        <f>H451+H459</f>
        <v>0</v>
      </c>
      <c r="I460" s="42">
        <f>I451+I459</f>
        <v>486287.07000000007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435852.87</v>
      </c>
      <c r="G464" s="18"/>
      <c r="H464" s="18"/>
      <c r="I464" s="18"/>
      <c r="J464" s="18">
        <v>530935.09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18691228.600000001</v>
      </c>
      <c r="G467" s="18">
        <f>576804.57+84809.86</f>
        <v>661614.42999999993</v>
      </c>
      <c r="H467" s="18">
        <v>1312757.96</v>
      </c>
      <c r="I467" s="18"/>
      <c r="J467" s="18">
        <f>294691+433.87+5.46</f>
        <v>295130.33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0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18691228.600000001</v>
      </c>
      <c r="G469" s="53">
        <f>SUM(G467:G468)</f>
        <v>661614.42999999993</v>
      </c>
      <c r="H469" s="53">
        <f>SUM(H467:H468)</f>
        <v>1312757.96</v>
      </c>
      <c r="I469" s="53">
        <f>SUM(I467:I468)</f>
        <v>0</v>
      </c>
      <c r="J469" s="53">
        <f>SUM(J467:J468)</f>
        <v>295130.33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18420101.91</v>
      </c>
      <c r="G471" s="18">
        <v>661614.43000000005</v>
      </c>
      <c r="H471" s="18">
        <v>1312757.96</v>
      </c>
      <c r="I471" s="18"/>
      <c r="J471" s="18">
        <f>339778.35+108544.14</f>
        <v>448322.49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0</v>
      </c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18420101.91</v>
      </c>
      <c r="G473" s="53">
        <f>SUM(G471:G472)</f>
        <v>661614.43000000005</v>
      </c>
      <c r="H473" s="53">
        <f>SUM(H471:H472)</f>
        <v>1312757.96</v>
      </c>
      <c r="I473" s="53">
        <f>SUM(I471:I472)</f>
        <v>0</v>
      </c>
      <c r="J473" s="53">
        <f>SUM(J471:J472)</f>
        <v>448322.49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706979.56000000238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377742.92999999993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7500000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1000000</v>
      </c>
      <c r="G494" s="18"/>
      <c r="H494" s="18"/>
      <c r="I494" s="18"/>
      <c r="J494" s="18"/>
      <c r="K494" s="53">
        <f>SUM(F494:J494)</f>
        <v>1000000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500000</v>
      </c>
      <c r="G496" s="18"/>
      <c r="H496" s="18"/>
      <c r="I496" s="18"/>
      <c r="J496" s="18"/>
      <c r="K496" s="53">
        <f t="shared" si="35"/>
        <v>500000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500000</v>
      </c>
      <c r="G497" s="205"/>
      <c r="H497" s="205"/>
      <c r="I497" s="205"/>
      <c r="J497" s="205"/>
      <c r="K497" s="206">
        <f t="shared" si="35"/>
        <v>500000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12000</v>
      </c>
      <c r="G498" s="18"/>
      <c r="H498" s="18"/>
      <c r="I498" s="18"/>
      <c r="J498" s="18"/>
      <c r="K498" s="53">
        <f t="shared" si="35"/>
        <v>12000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512000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512000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500000</v>
      </c>
      <c r="G500" s="205"/>
      <c r="H500" s="205"/>
      <c r="I500" s="205"/>
      <c r="J500" s="205"/>
      <c r="K500" s="206">
        <f t="shared" si="35"/>
        <v>500000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12000</v>
      </c>
      <c r="G501" s="18"/>
      <c r="H501" s="18"/>
      <c r="I501" s="18"/>
      <c r="J501" s="18"/>
      <c r="K501" s="53">
        <f t="shared" si="35"/>
        <v>12000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512000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512000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373270.18+21986.75</f>
        <v>395256.93</v>
      </c>
      <c r="G520" s="18">
        <f>168420.52+9297.79</f>
        <v>177718.31</v>
      </c>
      <c r="H520" s="18">
        <v>16208.2</v>
      </c>
      <c r="I520" s="18">
        <f>8063.71+191.8</f>
        <v>8255.51</v>
      </c>
      <c r="J520" s="18">
        <f>119.76+17686.56</f>
        <v>17806.32</v>
      </c>
      <c r="K520" s="18"/>
      <c r="L520" s="88">
        <f>SUM(F520:K520)</f>
        <v>615245.2699999999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292309.16+122489.78</f>
        <v>414798.93999999994</v>
      </c>
      <c r="G521" s="18">
        <f>13540.75+76077.4</f>
        <v>89618.15</v>
      </c>
      <c r="H521" s="18">
        <v>375695.21</v>
      </c>
      <c r="I521" s="18">
        <f>2700.63+6-55.51</f>
        <v>2651.12</v>
      </c>
      <c r="J521" s="18">
        <f>140.62+15078.53</f>
        <v>15219.150000000001</v>
      </c>
      <c r="K521" s="18"/>
      <c r="L521" s="88">
        <f>SUM(F521:K521)</f>
        <v>897982.57000000007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210345.04+1362.63</f>
        <v>211707.67</v>
      </c>
      <c r="G522" s="18">
        <v>87566.74</v>
      </c>
      <c r="H522" s="18">
        <v>43419.48</v>
      </c>
      <c r="I522" s="18">
        <f>1036.93+5637.1</f>
        <v>6674.0300000000007</v>
      </c>
      <c r="J522" s="18">
        <v>15485.05</v>
      </c>
      <c r="K522" s="18"/>
      <c r="L522" s="88">
        <f>SUM(F522:K522)</f>
        <v>364852.97000000003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1021763.5399999999</v>
      </c>
      <c r="G523" s="108">
        <f t="shared" ref="G523:L523" si="36">SUM(G520:G522)</f>
        <v>354903.19999999995</v>
      </c>
      <c r="H523" s="108">
        <f t="shared" si="36"/>
        <v>435322.89</v>
      </c>
      <c r="I523" s="108">
        <f t="shared" si="36"/>
        <v>17580.660000000003</v>
      </c>
      <c r="J523" s="108">
        <f t="shared" si="36"/>
        <v>48510.520000000004</v>
      </c>
      <c r="K523" s="108">
        <f t="shared" si="36"/>
        <v>0</v>
      </c>
      <c r="L523" s="89">
        <f t="shared" si="36"/>
        <v>1878080.8099999998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134240+3976.5</f>
        <v>138216.5</v>
      </c>
      <c r="G525" s="18">
        <f>50026.2+860.97</f>
        <v>50887.17</v>
      </c>
      <c r="H525" s="18">
        <v>42607.63</v>
      </c>
      <c r="I525" s="18">
        <v>2088.84</v>
      </c>
      <c r="J525" s="18"/>
      <c r="K525" s="18"/>
      <c r="L525" s="88">
        <f>SUM(F525:K525)</f>
        <v>233800.13999999998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87689.74+3352.8</f>
        <v>91042.540000000008</v>
      </c>
      <c r="G526" s="18">
        <f>37570.81+725.93</f>
        <v>38296.74</v>
      </c>
      <c r="H526" s="18">
        <v>13062.61</v>
      </c>
      <c r="I526" s="18">
        <v>1761.2</v>
      </c>
      <c r="J526" s="18"/>
      <c r="K526" s="18"/>
      <c r="L526" s="88">
        <f>SUM(F526:K526)</f>
        <v>144163.09000000003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96004.16+3670.7</f>
        <v>99674.86</v>
      </c>
      <c r="G527" s="18">
        <f>41133.11+794.76</f>
        <v>41927.870000000003</v>
      </c>
      <c r="H527" s="18"/>
      <c r="I527" s="18">
        <v>1928.18</v>
      </c>
      <c r="J527" s="18"/>
      <c r="K527" s="18"/>
      <c r="L527" s="88">
        <f>SUM(F527:K527)</f>
        <v>143530.91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328933.90000000002</v>
      </c>
      <c r="G528" s="89">
        <f t="shared" ref="G528:L528" si="37">SUM(G525:G527)</f>
        <v>131111.78</v>
      </c>
      <c r="H528" s="89">
        <f t="shared" si="37"/>
        <v>55670.239999999998</v>
      </c>
      <c r="I528" s="89">
        <f t="shared" si="37"/>
        <v>5778.22</v>
      </c>
      <c r="J528" s="89">
        <f t="shared" si="37"/>
        <v>0</v>
      </c>
      <c r="K528" s="89">
        <f t="shared" si="37"/>
        <v>0</v>
      </c>
      <c r="L528" s="89">
        <f t="shared" si="37"/>
        <v>521494.14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34051.19</v>
      </c>
      <c r="G530" s="18">
        <v>18021.34</v>
      </c>
      <c r="H530" s="18">
        <v>61482.8</v>
      </c>
      <c r="I530" s="18">
        <f>183.39+208.93</f>
        <v>392.32</v>
      </c>
      <c r="J530" s="18">
        <v>79.510000000000005</v>
      </c>
      <c r="K530" s="18">
        <v>90.37</v>
      </c>
      <c r="L530" s="88">
        <f>SUM(F530:K530)</f>
        <v>114117.53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28710.38</v>
      </c>
      <c r="G531" s="18">
        <v>15194.77</v>
      </c>
      <c r="H531" s="18">
        <f>29474.8+20126.25</f>
        <v>49601.05</v>
      </c>
      <c r="I531" s="18">
        <f>154.62+208.93</f>
        <v>363.55</v>
      </c>
      <c r="J531" s="18">
        <v>67.040000000000006</v>
      </c>
      <c r="K531" s="18">
        <v>76.2</v>
      </c>
      <c r="L531" s="88">
        <f>SUM(F531:K531)</f>
        <v>94012.99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31432.59</v>
      </c>
      <c r="G532" s="18">
        <v>16635.48</v>
      </c>
      <c r="H532" s="18">
        <v>6386.52</v>
      </c>
      <c r="I532" s="18">
        <v>169.28</v>
      </c>
      <c r="J532" s="18">
        <v>73.400000000000006</v>
      </c>
      <c r="K532" s="18">
        <v>83.42</v>
      </c>
      <c r="L532" s="88">
        <f>SUM(F532:K532)</f>
        <v>54780.689999999995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94194.16</v>
      </c>
      <c r="G533" s="89">
        <f t="shared" ref="G533:L533" si="38">SUM(G530:G532)</f>
        <v>49851.59</v>
      </c>
      <c r="H533" s="89">
        <f t="shared" si="38"/>
        <v>117470.37000000001</v>
      </c>
      <c r="I533" s="89">
        <f t="shared" si="38"/>
        <v>925.15</v>
      </c>
      <c r="J533" s="89">
        <f t="shared" si="38"/>
        <v>219.95000000000002</v>
      </c>
      <c r="K533" s="89">
        <f t="shared" si="38"/>
        <v>249.99</v>
      </c>
      <c r="L533" s="89">
        <f t="shared" si="38"/>
        <v>262911.21000000002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70</v>
      </c>
      <c r="I535" s="18"/>
      <c r="J535" s="18"/>
      <c r="K535" s="18"/>
      <c r="L535" s="88">
        <f>SUM(F535:K535)</f>
        <v>70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87.5</v>
      </c>
      <c r="I536" s="18"/>
      <c r="J536" s="18"/>
      <c r="K536" s="18"/>
      <c r="L536" s="88">
        <f>SUM(F536:K536)</f>
        <v>87.5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157.5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157.5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44673.2</v>
      </c>
      <c r="I540" s="18"/>
      <c r="J540" s="18"/>
      <c r="K540" s="18"/>
      <c r="L540" s="88">
        <f>SUM(F540:K540)</f>
        <v>44673.2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98198.84</v>
      </c>
      <c r="I541" s="18"/>
      <c r="J541" s="18"/>
      <c r="K541" s="18"/>
      <c r="L541" s="88">
        <f>SUM(F541:K541)</f>
        <v>98198.84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36668.21</v>
      </c>
      <c r="I542" s="18"/>
      <c r="J542" s="18"/>
      <c r="K542" s="18"/>
      <c r="L542" s="88">
        <f>SUM(F542:K542)</f>
        <v>36668.21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179540.24999999997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179540.24999999997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1444891.5999999999</v>
      </c>
      <c r="G544" s="89">
        <f t="shared" ref="G544:L544" si="41">G523+G528+G533+G538+G543</f>
        <v>535866.56999999995</v>
      </c>
      <c r="H544" s="89">
        <f t="shared" si="41"/>
        <v>788161.25</v>
      </c>
      <c r="I544" s="89">
        <f t="shared" si="41"/>
        <v>24284.030000000006</v>
      </c>
      <c r="J544" s="89">
        <f t="shared" si="41"/>
        <v>48730.47</v>
      </c>
      <c r="K544" s="89">
        <f t="shared" si="41"/>
        <v>249.99</v>
      </c>
      <c r="L544" s="89">
        <f t="shared" si="41"/>
        <v>2842183.9099999997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615245.2699999999</v>
      </c>
      <c r="G548" s="87">
        <f>L525</f>
        <v>233800.13999999998</v>
      </c>
      <c r="H548" s="87">
        <f>L530</f>
        <v>114117.53</v>
      </c>
      <c r="I548" s="87">
        <f>L535</f>
        <v>70</v>
      </c>
      <c r="J548" s="87">
        <f>L540</f>
        <v>44673.2</v>
      </c>
      <c r="K548" s="87">
        <f>SUM(F548:J548)</f>
        <v>1007906.1399999999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897982.57000000007</v>
      </c>
      <c r="G549" s="87">
        <f>L526</f>
        <v>144163.09000000003</v>
      </c>
      <c r="H549" s="87">
        <f>L531</f>
        <v>94012.99</v>
      </c>
      <c r="I549" s="87">
        <f>L536</f>
        <v>87.5</v>
      </c>
      <c r="J549" s="87">
        <f>L541</f>
        <v>98198.84</v>
      </c>
      <c r="K549" s="87">
        <f>SUM(F549:J549)</f>
        <v>1234444.9900000002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364852.97000000003</v>
      </c>
      <c r="G550" s="87">
        <f>L527</f>
        <v>143530.91</v>
      </c>
      <c r="H550" s="87">
        <f>L532</f>
        <v>54780.689999999995</v>
      </c>
      <c r="I550" s="87">
        <f>L537</f>
        <v>0</v>
      </c>
      <c r="J550" s="87">
        <f>L542</f>
        <v>36668.21</v>
      </c>
      <c r="K550" s="87">
        <f>SUM(F550:J550)</f>
        <v>599832.77999999991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1878080.8099999998</v>
      </c>
      <c r="G551" s="89">
        <f t="shared" si="42"/>
        <v>521494.14</v>
      </c>
      <c r="H551" s="89">
        <f t="shared" si="42"/>
        <v>262911.21000000002</v>
      </c>
      <c r="I551" s="89">
        <f t="shared" si="42"/>
        <v>157.5</v>
      </c>
      <c r="J551" s="89">
        <f t="shared" si="42"/>
        <v>179540.24999999997</v>
      </c>
      <c r="K551" s="89">
        <f t="shared" si="42"/>
        <v>2842183.9099999997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7515.42</v>
      </c>
      <c r="G561" s="18">
        <v>3129.33</v>
      </c>
      <c r="H561" s="18">
        <v>1835.7</v>
      </c>
      <c r="I561" s="18">
        <v>113.88</v>
      </c>
      <c r="J561" s="18"/>
      <c r="K561" s="18"/>
      <c r="L561" s="88">
        <f>SUM(F561:K561)</f>
        <v>12594.33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1365.98</v>
      </c>
      <c r="G562" s="18">
        <v>568.79</v>
      </c>
      <c r="H562" s="18">
        <v>333.65</v>
      </c>
      <c r="I562" s="18">
        <v>20.7</v>
      </c>
      <c r="J562" s="18"/>
      <c r="K562" s="18"/>
      <c r="L562" s="88">
        <f>SUM(F562:K562)</f>
        <v>2289.12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1365.98</v>
      </c>
      <c r="G563" s="18">
        <v>568.79</v>
      </c>
      <c r="H563" s="18">
        <v>333.65</v>
      </c>
      <c r="I563" s="18">
        <v>20.7</v>
      </c>
      <c r="J563" s="18"/>
      <c r="K563" s="18"/>
      <c r="L563" s="88">
        <f>SUM(F563:K563)</f>
        <v>2289.12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10247.379999999999</v>
      </c>
      <c r="G564" s="89">
        <f t="shared" si="44"/>
        <v>4266.91</v>
      </c>
      <c r="H564" s="89">
        <f t="shared" si="44"/>
        <v>2503</v>
      </c>
      <c r="I564" s="89">
        <f t="shared" si="44"/>
        <v>155.27999999999997</v>
      </c>
      <c r="J564" s="89">
        <f t="shared" si="44"/>
        <v>0</v>
      </c>
      <c r="K564" s="89">
        <f t="shared" si="44"/>
        <v>0</v>
      </c>
      <c r="L564" s="89">
        <f t="shared" si="44"/>
        <v>17172.57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38013.599999999999</v>
      </c>
      <c r="G566" s="18">
        <v>6915.98</v>
      </c>
      <c r="H566" s="18"/>
      <c r="I566" s="18">
        <v>195.5</v>
      </c>
      <c r="J566" s="18"/>
      <c r="K566" s="18"/>
      <c r="L566" s="88">
        <f>SUM(F566:K566)</f>
        <v>45125.08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31008.98</v>
      </c>
      <c r="G567" s="18">
        <v>6355.83</v>
      </c>
      <c r="H567" s="18"/>
      <c r="I567" s="18">
        <f>1040.59-670</f>
        <v>370.58999999999992</v>
      </c>
      <c r="J567" s="18"/>
      <c r="K567" s="18">
        <v>670</v>
      </c>
      <c r="L567" s="88">
        <f>SUM(F567:K567)</f>
        <v>38405.399999999994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69022.58</v>
      </c>
      <c r="G569" s="194">
        <f t="shared" ref="G569:L569" si="45">SUM(G566:G568)</f>
        <v>13271.81</v>
      </c>
      <c r="H569" s="194">
        <f t="shared" si="45"/>
        <v>0</v>
      </c>
      <c r="I569" s="194">
        <f t="shared" si="45"/>
        <v>566.08999999999992</v>
      </c>
      <c r="J569" s="194">
        <f t="shared" si="45"/>
        <v>0</v>
      </c>
      <c r="K569" s="194">
        <f t="shared" si="45"/>
        <v>670</v>
      </c>
      <c r="L569" s="194">
        <f t="shared" si="45"/>
        <v>83530.48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79269.960000000006</v>
      </c>
      <c r="G570" s="89">
        <f t="shared" ref="G570:L570" si="46">G559+G564+G569</f>
        <v>17538.72</v>
      </c>
      <c r="H570" s="89">
        <f t="shared" si="46"/>
        <v>2503</v>
      </c>
      <c r="I570" s="89">
        <f t="shared" si="46"/>
        <v>721.36999999999989</v>
      </c>
      <c r="J570" s="89">
        <f t="shared" si="46"/>
        <v>0</v>
      </c>
      <c r="K570" s="89">
        <f t="shared" si="46"/>
        <v>670</v>
      </c>
      <c r="L570" s="89">
        <f t="shared" si="46"/>
        <v>100703.04999999999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16732.7</v>
      </c>
      <c r="I574" s="87">
        <f>SUM(F574:H574)</f>
        <v>16732.7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271">
        <v>16101.56</v>
      </c>
      <c r="G581" s="271">
        <v>375695.21</v>
      </c>
      <c r="H581" s="271">
        <v>32853.480000000003</v>
      </c>
      <c r="I581" s="87">
        <f t="shared" si="47"/>
        <v>424650.25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175923.13</v>
      </c>
      <c r="I583" s="87">
        <f t="shared" si="47"/>
        <v>175923.13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334091.98</v>
      </c>
      <c r="I590" s="18">
        <v>257775.22</v>
      </c>
      <c r="J590" s="18">
        <v>72000.38</v>
      </c>
      <c r="K590" s="104">
        <f t="shared" ref="K590:K596" si="48">SUM(H590:J590)</f>
        <v>663867.57999999996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44673.2</v>
      </c>
      <c r="I591" s="18">
        <v>98198.84</v>
      </c>
      <c r="J591" s="18">
        <v>44768.21</v>
      </c>
      <c r="K591" s="104">
        <f t="shared" si="48"/>
        <v>187640.24999999997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64535.81</v>
      </c>
      <c r="K592" s="104">
        <f t="shared" si="48"/>
        <v>64535.81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1846.75</v>
      </c>
      <c r="J593" s="18">
        <v>35088.300000000003</v>
      </c>
      <c r="K593" s="104">
        <f t="shared" si="48"/>
        <v>36935.050000000003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300</v>
      </c>
      <c r="I594" s="18">
        <v>1966.69</v>
      </c>
      <c r="J594" s="18">
        <v>12118.15</v>
      </c>
      <c r="K594" s="104">
        <f t="shared" si="48"/>
        <v>14384.84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10106.01</v>
      </c>
      <c r="K596" s="104">
        <f t="shared" si="48"/>
        <v>10106.01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379065.18</v>
      </c>
      <c r="I597" s="108">
        <f>SUM(I590:I596)</f>
        <v>359787.5</v>
      </c>
      <c r="J597" s="108">
        <f>SUM(J590:J596)</f>
        <v>238616.86000000002</v>
      </c>
      <c r="K597" s="108">
        <f>SUM(K590:K596)</f>
        <v>977469.53999999992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75789.38+45214.88-0.02</f>
        <v>121004.24</v>
      </c>
      <c r="I603" s="18">
        <f>58545.13+36289.32</f>
        <v>94834.45</v>
      </c>
      <c r="J603" s="18">
        <f>64334.2+16847.87</f>
        <v>81182.069999999992</v>
      </c>
      <c r="K603" s="104">
        <f>SUM(H603:J603)</f>
        <v>297020.76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121004.24</v>
      </c>
      <c r="I604" s="108">
        <f>SUM(I601:I603)</f>
        <v>94834.45</v>
      </c>
      <c r="J604" s="108">
        <f>SUM(J601:J603)</f>
        <v>81182.069999999992</v>
      </c>
      <c r="K604" s="108">
        <f>SUM(K601:K603)</f>
        <v>297020.76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9030</v>
      </c>
      <c r="G610" s="18">
        <v>1427.4</v>
      </c>
      <c r="H610" s="18"/>
      <c r="I610" s="18"/>
      <c r="J610" s="18"/>
      <c r="K610" s="18"/>
      <c r="L610" s="88">
        <f>SUM(F610:K610)</f>
        <v>10457.4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4500</v>
      </c>
      <c r="G611" s="18">
        <v>768.16</v>
      </c>
      <c r="H611" s="18"/>
      <c r="I611" s="18"/>
      <c r="J611" s="18"/>
      <c r="K611" s="18"/>
      <c r="L611" s="88">
        <f>SUM(F611:K611)</f>
        <v>5268.16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6891.1+2250</f>
        <v>9141.1</v>
      </c>
      <c r="G612" s="18">
        <f>1428.9+172.13+533.48</f>
        <v>2134.5100000000002</v>
      </c>
      <c r="H612" s="18"/>
      <c r="I612" s="18"/>
      <c r="J612" s="18"/>
      <c r="K612" s="18"/>
      <c r="L612" s="88">
        <f>SUM(F612:K612)</f>
        <v>11275.61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22671.1</v>
      </c>
      <c r="G613" s="108">
        <f t="shared" si="49"/>
        <v>4330.07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27001.17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830884.90999999992</v>
      </c>
      <c r="H616" s="109">
        <f>SUM(F51)</f>
        <v>830884.91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25231.02</v>
      </c>
      <c r="H617" s="109">
        <f>SUM(G51)</f>
        <v>25231.019999999997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652939.01</v>
      </c>
      <c r="H618" s="109">
        <f>SUM(H51)</f>
        <v>652939.00999999989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486287.07</v>
      </c>
      <c r="H620" s="109">
        <f>SUM(J51)</f>
        <v>486287.07000000007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706979.56</v>
      </c>
      <c r="H621" s="109">
        <f>F475</f>
        <v>706979.56000000238</v>
      </c>
      <c r="I621" s="121" t="s">
        <v>101</v>
      </c>
      <c r="J621" s="109">
        <f t="shared" ref="J621:J654" si="50">G621-H621</f>
        <v>-2.3283064365386963E-9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377742.93000000005</v>
      </c>
      <c r="H625" s="109">
        <f>J475</f>
        <v>377742.92999999993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18691228.599999998</v>
      </c>
      <c r="H626" s="104">
        <f>SUM(F467)</f>
        <v>18691228.600000001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661614.42999999993</v>
      </c>
      <c r="H627" s="104">
        <f>SUM(G467)</f>
        <v>661614.42999999993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1312757.96</v>
      </c>
      <c r="H628" s="104">
        <f>SUM(H467)</f>
        <v>1312757.96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295130.33</v>
      </c>
      <c r="H630" s="104">
        <f>SUM(J467)</f>
        <v>295130.33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18420101.909999996</v>
      </c>
      <c r="H631" s="104">
        <f>SUM(F471)</f>
        <v>18420101.91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1312757.96</v>
      </c>
      <c r="H632" s="104">
        <f>SUM(H471)</f>
        <v>1312757.96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279315.34999999998</v>
      </c>
      <c r="H633" s="104">
        <f>I368</f>
        <v>279315.34999999998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661614.42999999993</v>
      </c>
      <c r="H634" s="104">
        <f>SUM(G471)</f>
        <v>661614.43000000005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295130.32999999996</v>
      </c>
      <c r="H636" s="164">
        <f>SUM(J467)</f>
        <v>295130.33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448322.49</v>
      </c>
      <c r="H637" s="164">
        <f>SUM(J471)</f>
        <v>448322.49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25014.34</v>
      </c>
      <c r="H638" s="104">
        <f>SUM(F460)</f>
        <v>25014.34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461272.73</v>
      </c>
      <c r="H639" s="104">
        <f>SUM(G460)</f>
        <v>461272.73000000004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486287.07</v>
      </c>
      <c r="H641" s="104">
        <f>SUM(I460)</f>
        <v>486287.07000000007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439.33</v>
      </c>
      <c r="H643" s="104">
        <f>H407</f>
        <v>439.33000000000004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294691</v>
      </c>
      <c r="H644" s="104">
        <f>G407</f>
        <v>294691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295130.33</v>
      </c>
      <c r="H645" s="104">
        <f>L407</f>
        <v>295130.32999999996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977469.53999999992</v>
      </c>
      <c r="H646" s="104">
        <f>L207+L225+L243</f>
        <v>977469.53999999992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297020.76</v>
      </c>
      <c r="H647" s="104">
        <f>(J256+J337)-(J254+J335)</f>
        <v>297020.76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379065.18</v>
      </c>
      <c r="H648" s="104">
        <f>H597</f>
        <v>379065.18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359787.5</v>
      </c>
      <c r="H649" s="104">
        <f>I597</f>
        <v>359787.5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238616.86</v>
      </c>
      <c r="H650" s="104">
        <f>J597</f>
        <v>238616.86000000002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84809.86</v>
      </c>
      <c r="H651" s="104">
        <f>K262+K344</f>
        <v>84809.86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294691</v>
      </c>
      <c r="H654" s="104">
        <f>K265+K346</f>
        <v>294691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6859006.7000000002</v>
      </c>
      <c r="G659" s="19">
        <f>(L228+L308+L358)</f>
        <v>6466204.5599999987</v>
      </c>
      <c r="H659" s="19">
        <f>(L246+L327+L359)</f>
        <v>5578378.6400000006</v>
      </c>
      <c r="I659" s="19">
        <f>SUM(F659:H659)</f>
        <v>18903589.899999999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95312.240924098951</v>
      </c>
      <c r="G660" s="19">
        <f>(L358/IF(SUM(L357:L359)=0,1,SUM(L357:L359))*(SUM(G96:G109)))</f>
        <v>81014.895495184857</v>
      </c>
      <c r="H660" s="19">
        <f>(L359/IF(SUM(L357:L359)=0,1,SUM(L357:L359))*(SUM(G96:G109)))</f>
        <v>97174.333580716193</v>
      </c>
      <c r="I660" s="19">
        <f>SUM(F660:H660)</f>
        <v>273501.46999999997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383921.58</v>
      </c>
      <c r="G661" s="19">
        <f>(L225+L305)-(J225+J305)</f>
        <v>359787.5</v>
      </c>
      <c r="H661" s="19">
        <f>(L243+L324)-(J243+J324)</f>
        <v>241948.00999999998</v>
      </c>
      <c r="I661" s="19">
        <f>SUM(F661:H661)</f>
        <v>985657.09000000008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147563.20000000001</v>
      </c>
      <c r="G662" s="200">
        <f>SUM(G574:G586)+SUM(I601:I603)+L611</f>
        <v>475797.82</v>
      </c>
      <c r="H662" s="200">
        <f>SUM(H574:H586)+SUM(J601:J603)+L612</f>
        <v>317966.99</v>
      </c>
      <c r="I662" s="19">
        <f>SUM(F662:H662)</f>
        <v>941328.01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6232209.6790759014</v>
      </c>
      <c r="G663" s="19">
        <f>G659-SUM(G660:G662)</f>
        <v>5549604.3445048137</v>
      </c>
      <c r="H663" s="19">
        <f>H659-SUM(H660:H662)</f>
        <v>4921289.3064192841</v>
      </c>
      <c r="I663" s="19">
        <f>I659-SUM(I660:I662)</f>
        <v>16703103.329999998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482.19</v>
      </c>
      <c r="G664" s="249">
        <v>406.55</v>
      </c>
      <c r="H664" s="249">
        <v>445.17</v>
      </c>
      <c r="I664" s="19">
        <f>SUM(F664:H664)</f>
        <v>1333.91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12924.8</v>
      </c>
      <c r="G666" s="19">
        <f>ROUND(G663/G664,2)</f>
        <v>13650.48</v>
      </c>
      <c r="H666" s="19">
        <f>ROUND(H663/H664,2)</f>
        <v>11054.85</v>
      </c>
      <c r="I666" s="19">
        <f>ROUND(I663/I664,2)</f>
        <v>12521.91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-27.69</v>
      </c>
      <c r="I669" s="19">
        <f>SUM(F669:H669)</f>
        <v>-27.69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12924.8</v>
      </c>
      <c r="G671" s="19">
        <f>ROUND((G663+G668)/(G664+G669),2)</f>
        <v>13650.48</v>
      </c>
      <c r="H671" s="19">
        <f>ROUND((H663+H668)/(H664+H669),2)</f>
        <v>11788.08</v>
      </c>
      <c r="I671" s="19">
        <f>ROUND((I663+I668)/(I664+I669),2)</f>
        <v>12787.36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Shaker Regional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5" t="s">
        <v>784</v>
      </c>
      <c r="B3" s="275"/>
      <c r="C3" s="275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783</v>
      </c>
      <c r="C6" s="274"/>
    </row>
    <row r="7" spans="1:3" x14ac:dyDescent="0.2">
      <c r="A7" s="240" t="s">
        <v>786</v>
      </c>
      <c r="B7" s="272" t="s">
        <v>782</v>
      </c>
      <c r="C7" s="273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5654633.71</v>
      </c>
      <c r="C9" s="230">
        <f>'DOE25'!G196+'DOE25'!G214+'DOE25'!G232+'DOE25'!G275+'DOE25'!G294+'DOE25'!G313</f>
        <v>2299221.17</v>
      </c>
    </row>
    <row r="10" spans="1:3" x14ac:dyDescent="0.2">
      <c r="A10" t="s">
        <v>779</v>
      </c>
      <c r="B10" s="241">
        <v>5271400.59</v>
      </c>
      <c r="C10" s="241">
        <v>2254476.67</v>
      </c>
    </row>
    <row r="11" spans="1:3" x14ac:dyDescent="0.2">
      <c r="A11" t="s">
        <v>780</v>
      </c>
      <c r="B11" s="241">
        <v>297434.08</v>
      </c>
      <c r="C11" s="241">
        <v>37880.57</v>
      </c>
    </row>
    <row r="12" spans="1:3" x14ac:dyDescent="0.2">
      <c r="A12" t="s">
        <v>781</v>
      </c>
      <c r="B12" s="241">
        <v>85799.039999999994</v>
      </c>
      <c r="C12" s="241">
        <v>6863.93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5654633.71</v>
      </c>
      <c r="C13" s="232">
        <f>SUM(C10:C12)</f>
        <v>2299221.17</v>
      </c>
    </row>
    <row r="14" spans="1:3" x14ac:dyDescent="0.2">
      <c r="B14" s="231"/>
      <c r="C14" s="231"/>
    </row>
    <row r="15" spans="1:3" x14ac:dyDescent="0.2">
      <c r="B15" s="274" t="s">
        <v>783</v>
      </c>
      <c r="C15" s="274"/>
    </row>
    <row r="16" spans="1:3" x14ac:dyDescent="0.2">
      <c r="A16" s="240" t="s">
        <v>787</v>
      </c>
      <c r="B16" s="272" t="s">
        <v>707</v>
      </c>
      <c r="C16" s="273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1417583.9</v>
      </c>
      <c r="C18" s="230">
        <f>'DOE25'!G197+'DOE25'!G215+'DOE25'!G233+'DOE25'!G276+'DOE25'!G295+'DOE25'!G314</f>
        <v>625268</v>
      </c>
    </row>
    <row r="19" spans="1:3" x14ac:dyDescent="0.2">
      <c r="A19" t="s">
        <v>779</v>
      </c>
      <c r="B19" s="241">
        <v>997603.05</v>
      </c>
      <c r="C19" s="241">
        <v>375011.79</v>
      </c>
    </row>
    <row r="20" spans="1:3" x14ac:dyDescent="0.2">
      <c r="A20" t="s">
        <v>780</v>
      </c>
      <c r="B20" s="241">
        <v>419980.85</v>
      </c>
      <c r="C20" s="241">
        <v>250256.21</v>
      </c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1417583.9</v>
      </c>
      <c r="C22" s="232">
        <f>SUM(C19:C21)</f>
        <v>625268</v>
      </c>
    </row>
    <row r="23" spans="1:3" x14ac:dyDescent="0.2">
      <c r="B23" s="231"/>
      <c r="C23" s="231"/>
    </row>
    <row r="24" spans="1:3" x14ac:dyDescent="0.2">
      <c r="B24" s="274" t="s">
        <v>783</v>
      </c>
      <c r="C24" s="274"/>
    </row>
    <row r="25" spans="1:3" x14ac:dyDescent="0.2">
      <c r="A25" s="240" t="s">
        <v>788</v>
      </c>
      <c r="B25" s="272" t="s">
        <v>708</v>
      </c>
      <c r="C25" s="273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40" t="s">
        <v>789</v>
      </c>
      <c r="B34" s="272" t="s">
        <v>709</v>
      </c>
      <c r="C34" s="273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220570.42</v>
      </c>
      <c r="C36" s="236">
        <f>'DOE25'!G199+'DOE25'!G217+'DOE25'!G235+'DOE25'!G278+'DOE25'!G297+'DOE25'!G316</f>
        <v>43093.62</v>
      </c>
    </row>
    <row r="37" spans="1:3" x14ac:dyDescent="0.2">
      <c r="A37" t="s">
        <v>779</v>
      </c>
      <c r="B37" s="241">
        <v>216429.29</v>
      </c>
      <c r="C37" s="241">
        <v>42267.5</v>
      </c>
    </row>
    <row r="38" spans="1:3" x14ac:dyDescent="0.2">
      <c r="A38" t="s">
        <v>780</v>
      </c>
      <c r="B38" s="241">
        <v>4141.13</v>
      </c>
      <c r="C38" s="241">
        <v>826.12</v>
      </c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220570.42</v>
      </c>
      <c r="C40" s="232">
        <f>SUM(C37:C39)</f>
        <v>43093.62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28" sqref="D2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6" t="str">
        <f>'DOE25'!A2</f>
        <v>Shaker Regional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10680940.52</v>
      </c>
      <c r="D5" s="20">
        <f>SUM('DOE25'!L196:L199)+SUM('DOE25'!L214:L217)+SUM('DOE25'!L232:L235)-F5-G5</f>
        <v>10634623.439999999</v>
      </c>
      <c r="E5" s="244"/>
      <c r="F5" s="256">
        <f>SUM('DOE25'!J196:J199)+SUM('DOE25'!J214:J217)+SUM('DOE25'!J232:J235)</f>
        <v>32137.079999999994</v>
      </c>
      <c r="G5" s="53">
        <f>SUM('DOE25'!K196:K199)+SUM('DOE25'!K214:K217)+SUM('DOE25'!K232:K235)</f>
        <v>14180</v>
      </c>
      <c r="H5" s="260"/>
    </row>
    <row r="6" spans="1:9" x14ac:dyDescent="0.2">
      <c r="A6" s="32">
        <v>2100</v>
      </c>
      <c r="B6" t="s">
        <v>801</v>
      </c>
      <c r="C6" s="246">
        <f t="shared" si="0"/>
        <v>1727154.7200000002</v>
      </c>
      <c r="D6" s="20">
        <f>'DOE25'!L201+'DOE25'!L219+'DOE25'!L237-F6-G6</f>
        <v>1723790.4100000001</v>
      </c>
      <c r="E6" s="244"/>
      <c r="F6" s="256">
        <f>'DOE25'!J201+'DOE25'!J219+'DOE25'!J237</f>
        <v>2694.31</v>
      </c>
      <c r="G6" s="53">
        <f>'DOE25'!K201+'DOE25'!K219+'DOE25'!K237</f>
        <v>670</v>
      </c>
      <c r="H6" s="260"/>
    </row>
    <row r="7" spans="1:9" x14ac:dyDescent="0.2">
      <c r="A7" s="32">
        <v>2200</v>
      </c>
      <c r="B7" t="s">
        <v>834</v>
      </c>
      <c r="C7" s="246">
        <f t="shared" si="0"/>
        <v>809958.29</v>
      </c>
      <c r="D7" s="20">
        <f>'DOE25'!L202+'DOE25'!L220+'DOE25'!L238-F7-G7</f>
        <v>693562.85</v>
      </c>
      <c r="E7" s="244"/>
      <c r="F7" s="256">
        <f>'DOE25'!J202+'DOE25'!J220+'DOE25'!J238</f>
        <v>114783.16</v>
      </c>
      <c r="G7" s="53">
        <f>'DOE25'!K202+'DOE25'!K220+'DOE25'!K238</f>
        <v>1612.28</v>
      </c>
      <c r="H7" s="260"/>
    </row>
    <row r="8" spans="1:9" x14ac:dyDescent="0.2">
      <c r="A8" s="32">
        <v>2300</v>
      </c>
      <c r="B8" t="s">
        <v>802</v>
      </c>
      <c r="C8" s="246">
        <f t="shared" si="0"/>
        <v>2.1827872842550278E-11</v>
      </c>
      <c r="D8" s="244"/>
      <c r="E8" s="20">
        <f>'DOE25'!L203+'DOE25'!L221+'DOE25'!L239-F8-G8-D9-D11</f>
        <v>-13914.099999999977</v>
      </c>
      <c r="F8" s="256">
        <f>'DOE25'!J203+'DOE25'!J221+'DOE25'!J239</f>
        <v>0</v>
      </c>
      <c r="G8" s="53">
        <f>'DOE25'!K203+'DOE25'!K221+'DOE25'!K239</f>
        <v>13914.099999999999</v>
      </c>
      <c r="H8" s="260"/>
    </row>
    <row r="9" spans="1:9" x14ac:dyDescent="0.2">
      <c r="A9" s="32">
        <v>2310</v>
      </c>
      <c r="B9" t="s">
        <v>818</v>
      </c>
      <c r="C9" s="246">
        <f t="shared" si="0"/>
        <v>128139.73</v>
      </c>
      <c r="D9" s="245">
        <v>128139.73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12372.75</v>
      </c>
      <c r="D10" s="244"/>
      <c r="E10" s="245">
        <v>12372.75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211106.68</v>
      </c>
      <c r="D11" s="245">
        <v>211106.68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1101913.98</v>
      </c>
      <c r="D12" s="20">
        <f>'DOE25'!L204+'DOE25'!L222+'DOE25'!L240-F12-G12</f>
        <v>1085520.46</v>
      </c>
      <c r="E12" s="244"/>
      <c r="F12" s="256">
        <f>'DOE25'!J204+'DOE25'!J222+'DOE25'!J240</f>
        <v>411.62</v>
      </c>
      <c r="G12" s="53">
        <f>'DOE25'!K204+'DOE25'!K222+'DOE25'!K240</f>
        <v>15981.9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299675.20999999996</v>
      </c>
      <c r="D13" s="244"/>
      <c r="E13" s="20">
        <f>'DOE25'!L205+'DOE25'!L223+'DOE25'!L241-F13-G13</f>
        <v>287143.55999999994</v>
      </c>
      <c r="F13" s="256">
        <f>'DOE25'!J205+'DOE25'!J223+'DOE25'!J241</f>
        <v>11977.65</v>
      </c>
      <c r="G13" s="53">
        <f>'DOE25'!K205+'DOE25'!K223+'DOE25'!K241</f>
        <v>554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1456183.84</v>
      </c>
      <c r="D14" s="20">
        <f>'DOE25'!L206+'DOE25'!L224+'DOE25'!L242-F14-G14</f>
        <v>1419518.9500000002</v>
      </c>
      <c r="E14" s="244"/>
      <c r="F14" s="256">
        <f>'DOE25'!J206+'DOE25'!J224+'DOE25'!J242</f>
        <v>36664.89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977469.53999999992</v>
      </c>
      <c r="D15" s="20">
        <f>'DOE25'!L207+'DOE25'!L225+'DOE25'!L243-F15-G15</f>
        <v>977469.53999999992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8656.0400000000009</v>
      </c>
      <c r="D19" s="20">
        <f>'DOE25'!L252-F19-G19</f>
        <v>8656.0400000000009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566727.5</v>
      </c>
      <c r="D22" s="244"/>
      <c r="E22" s="244"/>
      <c r="F22" s="256">
        <f>'DOE25'!L254+'DOE25'!L335</f>
        <v>566727.5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536000</v>
      </c>
      <c r="D25" s="244"/>
      <c r="E25" s="244"/>
      <c r="F25" s="259"/>
      <c r="G25" s="257"/>
      <c r="H25" s="258">
        <f>'DOE25'!L259+'DOE25'!L260+'DOE25'!L340+'DOE25'!L341</f>
        <v>536000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410102.47</v>
      </c>
      <c r="D29" s="20">
        <f>'DOE25'!L357+'DOE25'!L358+'DOE25'!L359-'DOE25'!I366-F29-G29</f>
        <v>409492.51999999996</v>
      </c>
      <c r="E29" s="244"/>
      <c r="F29" s="256">
        <f>'DOE25'!J357+'DOE25'!J358+'DOE25'!J359</f>
        <v>609.95000000000005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849432.95999999985</v>
      </c>
      <c r="D31" s="20">
        <f>'DOE25'!L289+'DOE25'!L308+'DOE25'!L327+'DOE25'!L332+'DOE25'!L333+'DOE25'!L334-F31-G31</f>
        <v>749164.27999999991</v>
      </c>
      <c r="E31" s="244"/>
      <c r="F31" s="256">
        <f>'DOE25'!J289+'DOE25'!J308+'DOE25'!J327+'DOE25'!J332+'DOE25'!J333+'DOE25'!J334</f>
        <v>98352.049999999988</v>
      </c>
      <c r="G31" s="53">
        <f>'DOE25'!K289+'DOE25'!K308+'DOE25'!K327+'DOE25'!K332+'DOE25'!K333+'DOE25'!K334</f>
        <v>1916.6299999999999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18041044.899999999</v>
      </c>
      <c r="E33" s="247">
        <f>SUM(E5:E31)</f>
        <v>285602.20999999996</v>
      </c>
      <c r="F33" s="247">
        <f>SUM(F5:F31)</f>
        <v>864358.21</v>
      </c>
      <c r="G33" s="247">
        <f>SUM(G5:G31)</f>
        <v>48828.909999999996</v>
      </c>
      <c r="H33" s="247">
        <f>SUM(H5:H31)</f>
        <v>536000</v>
      </c>
    </row>
    <row r="35" spans="2:8" ht="12" thickBot="1" x14ac:dyDescent="0.25">
      <c r="B35" s="254" t="s">
        <v>847</v>
      </c>
      <c r="D35" s="255">
        <f>E33</f>
        <v>285602.20999999996</v>
      </c>
      <c r="E35" s="250"/>
    </row>
    <row r="36" spans="2:8" ht="12" thickTop="1" x14ac:dyDescent="0.2">
      <c r="B36" t="s">
        <v>815</v>
      </c>
      <c r="D36" s="20">
        <f>D33</f>
        <v>18041044.899999999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G5" sqref="G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Shaker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112867.78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486287.07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1979.69</v>
      </c>
      <c r="D9" s="95">
        <f>'DOE25'!G10</f>
        <v>4774.1099999999997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565790.16999999993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145922.97</v>
      </c>
      <c r="D12" s="95">
        <f>'DOE25'!G13</f>
        <v>18775.759999999998</v>
      </c>
      <c r="E12" s="95">
        <f>'DOE25'!H13</f>
        <v>650759.22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910.56</v>
      </c>
      <c r="D13" s="95">
        <f>'DOE25'!G14</f>
        <v>1681.15</v>
      </c>
      <c r="E13" s="95">
        <f>'DOE25'!H14</f>
        <v>2179.79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3413.74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830884.90999999992</v>
      </c>
      <c r="D18" s="41">
        <f>SUM(D8:D17)</f>
        <v>25231.02</v>
      </c>
      <c r="E18" s="41">
        <f>SUM(E8:E17)</f>
        <v>652939.01</v>
      </c>
      <c r="F18" s="41">
        <f>SUM(F8:F17)</f>
        <v>0</v>
      </c>
      <c r="G18" s="41">
        <f>SUM(G8:G17)</f>
        <v>486287.07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19038.979999999996</v>
      </c>
      <c r="E21" s="95">
        <f>'DOE25'!H22</f>
        <v>546590.82999999996</v>
      </c>
      <c r="F21" s="95">
        <f>'DOE25'!I22</f>
        <v>0</v>
      </c>
      <c r="G21" s="95">
        <f>'DOE25'!J22</f>
        <v>108544.14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73422.86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43272.79</v>
      </c>
      <c r="D23" s="95">
        <f>'DOE25'!G24</f>
        <v>41.99</v>
      </c>
      <c r="E23" s="95">
        <f>'DOE25'!H24</f>
        <v>82373.240000000005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7209.7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6150.05</v>
      </c>
      <c r="E29" s="95">
        <f>'DOE25'!H30</f>
        <v>23974.94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123905.34999999999</v>
      </c>
      <c r="D31" s="41">
        <f>SUM(D21:D30)</f>
        <v>25231.019999999997</v>
      </c>
      <c r="E31" s="41">
        <f>SUM(E21:E30)</f>
        <v>652939.00999999989</v>
      </c>
      <c r="F31" s="41">
        <f>SUM(F21:F30)</f>
        <v>0</v>
      </c>
      <c r="G31" s="41">
        <f>SUM(G21:G30)</f>
        <v>108544.14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90086.16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364853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377742.93000000005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252040.40000000002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706979.56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377742.93000000005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830884.91</v>
      </c>
      <c r="D50" s="41">
        <f>D49+D31</f>
        <v>25231.019999999997</v>
      </c>
      <c r="E50" s="41">
        <f>E49+E31</f>
        <v>652939.00999999989</v>
      </c>
      <c r="F50" s="41">
        <f>F49+F31</f>
        <v>0</v>
      </c>
      <c r="G50" s="41">
        <f>G49+G31</f>
        <v>486287.07000000007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10720318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8406.8799999999992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865.81000000000006</v>
      </c>
      <c r="D58" s="95">
        <f>'DOE25'!G95</f>
        <v>12.12</v>
      </c>
      <c r="E58" s="95">
        <f>'DOE25'!H95</f>
        <v>0</v>
      </c>
      <c r="F58" s="95">
        <f>'DOE25'!I95</f>
        <v>0</v>
      </c>
      <c r="G58" s="95">
        <f>'DOE25'!J95</f>
        <v>439.33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273501.46999999997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37950.01</v>
      </c>
      <c r="D60" s="95">
        <f>SUM('DOE25'!G97:G109)</f>
        <v>0</v>
      </c>
      <c r="E60" s="95">
        <f>SUM('DOE25'!H97:H109)</f>
        <v>58412.26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47222.7</v>
      </c>
      <c r="D61" s="130">
        <f>SUM(D56:D60)</f>
        <v>273513.58999999997</v>
      </c>
      <c r="E61" s="130">
        <f>SUM(E56:E60)</f>
        <v>58412.26</v>
      </c>
      <c r="F61" s="130">
        <f>SUM(F56:F60)</f>
        <v>0</v>
      </c>
      <c r="G61" s="130">
        <f>SUM(G56:G60)</f>
        <v>439.33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10767540.699999999</v>
      </c>
      <c r="D62" s="22">
        <f>D55+D61</f>
        <v>273513.58999999997</v>
      </c>
      <c r="E62" s="22">
        <f>E55+E61</f>
        <v>58412.26</v>
      </c>
      <c r="F62" s="22">
        <f>F55+F61</f>
        <v>0</v>
      </c>
      <c r="G62" s="22">
        <f>G55+G61</f>
        <v>439.33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4594723.9800000004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2320634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3981.02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6919339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287520.32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79309.98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12923.53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17108.400000000001</v>
      </c>
      <c r="D76" s="95">
        <f>SUM('DOE25'!G130:G134)</f>
        <v>7897.57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396862.23000000004</v>
      </c>
      <c r="D77" s="130">
        <f>SUM(D71:D76)</f>
        <v>7897.57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7316201.2300000004</v>
      </c>
      <c r="D80" s="130">
        <f>SUM(D78:D79)+D77+D69</f>
        <v>7897.57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148718.96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158575.22</v>
      </c>
      <c r="D87" s="95">
        <f>SUM('DOE25'!G152:G160)</f>
        <v>295393.40999999997</v>
      </c>
      <c r="E87" s="95">
        <f>SUM('DOE25'!H152:H160)</f>
        <v>1254345.7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307294.18</v>
      </c>
      <c r="D90" s="131">
        <f>SUM(D84:D89)</f>
        <v>295393.40999999997</v>
      </c>
      <c r="E90" s="131">
        <f>SUM(E84:E89)</f>
        <v>1254345.7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84809.86</v>
      </c>
      <c r="E95" s="95">
        <f>'DOE25'!H178</f>
        <v>0</v>
      </c>
      <c r="F95" s="95">
        <f>'DOE25'!I178</f>
        <v>0</v>
      </c>
      <c r="G95" s="95">
        <f>'DOE25'!J178</f>
        <v>294691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119778.35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180414.14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300192.49</v>
      </c>
      <c r="D102" s="86">
        <f>SUM(D92:D101)</f>
        <v>84809.86</v>
      </c>
      <c r="E102" s="86">
        <f>SUM(E92:E101)</f>
        <v>0</v>
      </c>
      <c r="F102" s="86">
        <f>SUM(F92:F101)</f>
        <v>0</v>
      </c>
      <c r="G102" s="86">
        <f>SUM(G92:G101)</f>
        <v>294691</v>
      </c>
    </row>
    <row r="103" spans="1:7" ht="12.75" thickTop="1" thickBot="1" x14ac:dyDescent="0.25">
      <c r="A103" s="33" t="s">
        <v>765</v>
      </c>
      <c r="C103" s="86">
        <f>C62+C80+C90+C102</f>
        <v>18691228.599999998</v>
      </c>
      <c r="D103" s="86">
        <f>D62+D80+D90+D102</f>
        <v>661614.42999999993</v>
      </c>
      <c r="E103" s="86">
        <f>E62+E80+E90+E102</f>
        <v>1312757.96</v>
      </c>
      <c r="F103" s="86">
        <f>F62+F80+F90+F102</f>
        <v>0</v>
      </c>
      <c r="G103" s="86">
        <f>G62+G80+G102</f>
        <v>295130.33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8107542.1199999992</v>
      </c>
      <c r="D108" s="24" t="s">
        <v>289</v>
      </c>
      <c r="E108" s="95">
        <f>('DOE25'!L275)+('DOE25'!L294)+('DOE25'!L313)</f>
        <v>55248.13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2087171.27</v>
      </c>
      <c r="D109" s="24" t="s">
        <v>289</v>
      </c>
      <c r="E109" s="95">
        <f>('DOE25'!L276)+('DOE25'!L295)+('DOE25'!L314)</f>
        <v>614699.27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175923.13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310304</v>
      </c>
      <c r="D111" s="24" t="s">
        <v>289</v>
      </c>
      <c r="E111" s="95">
        <f>+('DOE25'!L278)+('DOE25'!L297)+('DOE25'!L316)</f>
        <v>49202.67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8656.0400000000009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10689596.559999999</v>
      </c>
      <c r="D114" s="86">
        <f>SUM(D108:D113)</f>
        <v>0</v>
      </c>
      <c r="E114" s="86">
        <f>SUM(E108:E113)</f>
        <v>719150.07000000007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1727154.7200000002</v>
      </c>
      <c r="D117" s="24" t="s">
        <v>289</v>
      </c>
      <c r="E117" s="95">
        <f>+('DOE25'!L280)+('DOE25'!L299)+('DOE25'!L318)</f>
        <v>37274.380000000005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809958.29</v>
      </c>
      <c r="D118" s="24" t="s">
        <v>289</v>
      </c>
      <c r="E118" s="95">
        <f>+('DOE25'!L281)+('DOE25'!L300)+('DOE25'!L319)</f>
        <v>84820.959999999992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339246.41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1101913.98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299675.20999999996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1456183.84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977469.53999999992</v>
      </c>
      <c r="D123" s="24" t="s">
        <v>289</v>
      </c>
      <c r="E123" s="95">
        <f>+('DOE25'!L286)+('DOE25'!L305)+('DOE25'!L324)</f>
        <v>8187.5499999999993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661614.42999999993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6711601.9900000002</v>
      </c>
      <c r="D127" s="86">
        <f>SUM(D117:D126)</f>
        <v>661614.42999999993</v>
      </c>
      <c r="E127" s="86">
        <f>SUM(E117:E126)</f>
        <v>130282.89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103402.5</v>
      </c>
      <c r="D129" s="24" t="s">
        <v>289</v>
      </c>
      <c r="E129" s="129">
        <f>'DOE25'!L335</f>
        <v>463325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500000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36000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328544.14</v>
      </c>
    </row>
    <row r="134" spans="1:7" x14ac:dyDescent="0.2">
      <c r="A134" t="s">
        <v>233</v>
      </c>
      <c r="B134" s="32" t="s">
        <v>234</v>
      </c>
      <c r="C134" s="95">
        <f>'DOE25'!L262</f>
        <v>84809.86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25019.8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270110.52999999997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-439.32999999995809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1018903.36</v>
      </c>
      <c r="D143" s="141">
        <f>SUM(D129:D142)</f>
        <v>0</v>
      </c>
      <c r="E143" s="141">
        <f>SUM(E129:E142)</f>
        <v>463325</v>
      </c>
      <c r="F143" s="141">
        <f>SUM(F129:F142)</f>
        <v>0</v>
      </c>
      <c r="G143" s="141">
        <f>SUM(G129:G142)</f>
        <v>328544.14</v>
      </c>
    </row>
    <row r="144" spans="1:7" ht="12.75" thickTop="1" thickBot="1" x14ac:dyDescent="0.25">
      <c r="A144" s="33" t="s">
        <v>244</v>
      </c>
      <c r="C144" s="86">
        <f>(C114+C127+C143)</f>
        <v>18420101.909999996</v>
      </c>
      <c r="D144" s="86">
        <f>(D114+D127+D143)</f>
        <v>661614.42999999993</v>
      </c>
      <c r="E144" s="86">
        <f>(E114+E127+E143)</f>
        <v>1312757.96</v>
      </c>
      <c r="F144" s="86">
        <f>(F114+F127+F143)</f>
        <v>0</v>
      </c>
      <c r="G144" s="86">
        <f>(G114+G127+G143)</f>
        <v>328544.14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8/97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7500000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4.75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1000000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1000000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500000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500000</v>
      </c>
    </row>
    <row r="158" spans="1:9" x14ac:dyDescent="0.2">
      <c r="A158" s="22" t="s">
        <v>35</v>
      </c>
      <c r="B158" s="137">
        <f>'DOE25'!F497</f>
        <v>500000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500000</v>
      </c>
    </row>
    <row r="159" spans="1:9" x14ac:dyDescent="0.2">
      <c r="A159" s="22" t="s">
        <v>36</v>
      </c>
      <c r="B159" s="137">
        <f>'DOE25'!F498</f>
        <v>12000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12000</v>
      </c>
    </row>
    <row r="160" spans="1:9" x14ac:dyDescent="0.2">
      <c r="A160" s="22" t="s">
        <v>37</v>
      </c>
      <c r="B160" s="137">
        <f>'DOE25'!F499</f>
        <v>512000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512000</v>
      </c>
    </row>
    <row r="161" spans="1:7" x14ac:dyDescent="0.2">
      <c r="A161" s="22" t="s">
        <v>38</v>
      </c>
      <c r="B161" s="137">
        <f>'DOE25'!F500</f>
        <v>500000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500000</v>
      </c>
    </row>
    <row r="162" spans="1:7" x14ac:dyDescent="0.2">
      <c r="A162" s="22" t="s">
        <v>39</v>
      </c>
      <c r="B162" s="137">
        <f>'DOE25'!F501</f>
        <v>12000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12000</v>
      </c>
    </row>
    <row r="163" spans="1:7" x14ac:dyDescent="0.2">
      <c r="A163" s="22" t="s">
        <v>246</v>
      </c>
      <c r="B163" s="137">
        <f>'DOE25'!F502</f>
        <v>512000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512000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G22" sqref="G2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Shaker Regional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12925</v>
      </c>
    </row>
    <row r="5" spans="1:4" x14ac:dyDescent="0.2">
      <c r="B5" t="s">
        <v>704</v>
      </c>
      <c r="C5" s="179">
        <f>IF('DOE25'!G664+'DOE25'!G669=0,0,ROUND('DOE25'!G671,0))</f>
        <v>13650</v>
      </c>
    </row>
    <row r="6" spans="1:4" x14ac:dyDescent="0.2">
      <c r="B6" t="s">
        <v>62</v>
      </c>
      <c r="C6" s="179">
        <f>IF('DOE25'!H664+'DOE25'!H669=0,0,ROUND('DOE25'!H671,0))</f>
        <v>11788</v>
      </c>
    </row>
    <row r="7" spans="1:4" x14ac:dyDescent="0.2">
      <c r="B7" t="s">
        <v>705</v>
      </c>
      <c r="C7" s="179">
        <f>IF('DOE25'!I664+'DOE25'!I669=0,0,ROUND('DOE25'!I671,0))</f>
        <v>12787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8162790</v>
      </c>
      <c r="D10" s="182">
        <f>ROUND((C10/$C$28)*100,1)</f>
        <v>43.7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2701871</v>
      </c>
      <c r="D11" s="182">
        <f>ROUND((C11/$C$28)*100,1)</f>
        <v>14.5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175923</v>
      </c>
      <c r="D12" s="182">
        <f>ROUND((C12/$C$28)*100,1)</f>
        <v>0.9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359507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1764429</v>
      </c>
      <c r="D15" s="182">
        <f t="shared" ref="D15:D27" si="0">ROUND((C15/$C$28)*100,1)</f>
        <v>9.4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894779</v>
      </c>
      <c r="D16" s="182">
        <f t="shared" si="0"/>
        <v>4.8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339246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1101914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299675</v>
      </c>
      <c r="D19" s="182">
        <f t="shared" si="0"/>
        <v>1.6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1456184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985657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8656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36000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388112.53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18674743.530000001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566728</v>
      </c>
    </row>
    <row r="30" spans="1:4" x14ac:dyDescent="0.2">
      <c r="B30" s="187" t="s">
        <v>729</v>
      </c>
      <c r="C30" s="180">
        <f>SUM(C28:C29)</f>
        <v>19241471.530000001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500000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10720318</v>
      </c>
      <c r="D35" s="182">
        <f t="shared" ref="D35:D40" si="1">ROUND((C35/$C$41)*100,1)</f>
        <v>53.6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106086.41000000015</v>
      </c>
      <c r="D36" s="182">
        <f t="shared" si="1"/>
        <v>0.5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6919339</v>
      </c>
      <c r="D37" s="182">
        <f t="shared" si="1"/>
        <v>34.6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404760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1857033</v>
      </c>
      <c r="D39" s="182">
        <f t="shared" si="1"/>
        <v>9.3000000000000007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20007536.41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Shaker Regional School District</v>
      </c>
      <c r="G2" s="292"/>
      <c r="H2" s="292"/>
      <c r="I2" s="292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8"/>
      <c r="AB29" s="208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8"/>
      <c r="AO29" s="208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8"/>
      <c r="BB29" s="208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8"/>
      <c r="BO29" s="208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8"/>
      <c r="CB29" s="208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8"/>
      <c r="CO29" s="208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8"/>
      <c r="DB29" s="208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8"/>
      <c r="DO29" s="208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8"/>
      <c r="EB29" s="208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8"/>
      <c r="EO29" s="208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8"/>
      <c r="FB29" s="208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8"/>
      <c r="FO29" s="208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8"/>
      <c r="GB29" s="208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8"/>
      <c r="GO29" s="208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8"/>
      <c r="HB29" s="208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8"/>
      <c r="HO29" s="208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8"/>
      <c r="IB29" s="208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8"/>
      <c r="IO29" s="208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8"/>
      <c r="AB30" s="208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8"/>
      <c r="AO30" s="208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8"/>
      <c r="BB30" s="208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8"/>
      <c r="BO30" s="208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8"/>
      <c r="CB30" s="208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8"/>
      <c r="CO30" s="208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8"/>
      <c r="DB30" s="208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8"/>
      <c r="DO30" s="208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8"/>
      <c r="EB30" s="208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8"/>
      <c r="EO30" s="208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8"/>
      <c r="FB30" s="208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8"/>
      <c r="FO30" s="208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8"/>
      <c r="GB30" s="208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8"/>
      <c r="GO30" s="208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8"/>
      <c r="HB30" s="208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8"/>
      <c r="HO30" s="208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8"/>
      <c r="IB30" s="208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8"/>
      <c r="IO30" s="208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8"/>
      <c r="AB31" s="208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8"/>
      <c r="AO31" s="208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8"/>
      <c r="BB31" s="208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8"/>
      <c r="BO31" s="208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8"/>
      <c r="CB31" s="208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8"/>
      <c r="CO31" s="208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8"/>
      <c r="DB31" s="208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8"/>
      <c r="DO31" s="208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8"/>
      <c r="EB31" s="208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8"/>
      <c r="EO31" s="208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8"/>
      <c r="FB31" s="208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8"/>
      <c r="FO31" s="208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8"/>
      <c r="GB31" s="208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8"/>
      <c r="GO31" s="208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8"/>
      <c r="HB31" s="208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8"/>
      <c r="HO31" s="208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8"/>
      <c r="IB31" s="208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8"/>
      <c r="IO31" s="208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8"/>
      <c r="AB38" s="208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8"/>
      <c r="AO38" s="208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8"/>
      <c r="BB38" s="208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8"/>
      <c r="BO38" s="208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8"/>
      <c r="CB38" s="208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8"/>
      <c r="CO38" s="208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8"/>
      <c r="DB38" s="208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8"/>
      <c r="DO38" s="208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8"/>
      <c r="EB38" s="208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8"/>
      <c r="EO38" s="208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8"/>
      <c r="FB38" s="208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8"/>
      <c r="FO38" s="208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8"/>
      <c r="GB38" s="208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8"/>
      <c r="GO38" s="208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8"/>
      <c r="HB38" s="208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8"/>
      <c r="HO38" s="208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8"/>
      <c r="IB38" s="208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8"/>
      <c r="IO38" s="208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8"/>
      <c r="AB39" s="208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8"/>
      <c r="AO39" s="208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8"/>
      <c r="BB39" s="208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8"/>
      <c r="BO39" s="208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8"/>
      <c r="CB39" s="208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8"/>
      <c r="CO39" s="208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8"/>
      <c r="DB39" s="208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8"/>
      <c r="DO39" s="208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8"/>
      <c r="EB39" s="208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8"/>
      <c r="EO39" s="208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8"/>
      <c r="FB39" s="208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8"/>
      <c r="FO39" s="208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8"/>
      <c r="GB39" s="208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8"/>
      <c r="GO39" s="208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8"/>
      <c r="HB39" s="208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8"/>
      <c r="HO39" s="208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8"/>
      <c r="IB39" s="208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8"/>
      <c r="IO39" s="208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8"/>
      <c r="AB40" s="208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8"/>
      <c r="AO40" s="208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8"/>
      <c r="BB40" s="208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8"/>
      <c r="BO40" s="208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8"/>
      <c r="CB40" s="208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8"/>
      <c r="CO40" s="208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8"/>
      <c r="DB40" s="208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8"/>
      <c r="DO40" s="208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8"/>
      <c r="EB40" s="208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8"/>
      <c r="EO40" s="208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8"/>
      <c r="FB40" s="208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8"/>
      <c r="FO40" s="208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8"/>
      <c r="GB40" s="208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8"/>
      <c r="GO40" s="208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8"/>
      <c r="HB40" s="208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8"/>
      <c r="HO40" s="208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8"/>
      <c r="IB40" s="208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8"/>
      <c r="IO40" s="208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F0A" sheet="1" objects="1" scenarios="1"/>
  <mergeCells count="223"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DP40:DZ40"/>
    <mergeCell ref="HC38:HM38"/>
    <mergeCell ref="HP38:HZ38"/>
    <mergeCell ref="IC38:IM38"/>
    <mergeCell ref="FP32:FZ32"/>
    <mergeCell ref="GC32:GM32"/>
    <mergeCell ref="GC38:G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IP40:IV40"/>
    <mergeCell ref="GC40:GM40"/>
    <mergeCell ref="GP40:GZ40"/>
    <mergeCell ref="HC40:HM40"/>
    <mergeCell ref="HP40:HZ40"/>
    <mergeCell ref="EC40:EM40"/>
    <mergeCell ref="IC40:IM40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DC38:DM38"/>
    <mergeCell ref="DP38:DZ38"/>
    <mergeCell ref="EC38:EM38"/>
    <mergeCell ref="EP38:EZ38"/>
    <mergeCell ref="FC38:FM38"/>
    <mergeCell ref="FP38:FZ38"/>
    <mergeCell ref="GP38:GZ38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P40:Z40"/>
    <mergeCell ref="AC40:AM40"/>
    <mergeCell ref="BP32:BZ32"/>
    <mergeCell ref="BC38:BM38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29:HM29"/>
    <mergeCell ref="HP29:HZ29"/>
    <mergeCell ref="IC29:IM29"/>
    <mergeCell ref="EP29:EZ29"/>
    <mergeCell ref="FC29:FM29"/>
    <mergeCell ref="FP29:FZ29"/>
    <mergeCell ref="GC29:GM29"/>
    <mergeCell ref="CP29:CZ29"/>
    <mergeCell ref="DC29:DM29"/>
    <mergeCell ref="DP29:DZ29"/>
    <mergeCell ref="EC29:EM29"/>
    <mergeCell ref="BC29:BM29"/>
    <mergeCell ref="BP29:BZ29"/>
    <mergeCell ref="CC29:CM29"/>
    <mergeCell ref="P29:Z29"/>
    <mergeCell ref="AC29:AM29"/>
    <mergeCell ref="AP29:AZ29"/>
    <mergeCell ref="P31:Z31"/>
    <mergeCell ref="AP31:AZ31"/>
    <mergeCell ref="GP29:GZ29"/>
    <mergeCell ref="P32:Z32"/>
    <mergeCell ref="C22:M22"/>
    <mergeCell ref="C23:M23"/>
    <mergeCell ref="C26:M26"/>
    <mergeCell ref="C24:M24"/>
    <mergeCell ref="C29:M29"/>
    <mergeCell ref="C25:M25"/>
    <mergeCell ref="AC31:AM31"/>
    <mergeCell ref="C59:M59"/>
    <mergeCell ref="AC38:AM38"/>
    <mergeCell ref="P39:Z39"/>
    <mergeCell ref="AC39:AM39"/>
    <mergeCell ref="A1:I1"/>
    <mergeCell ref="C3:M3"/>
    <mergeCell ref="C4:M4"/>
    <mergeCell ref="F2:I2"/>
    <mergeCell ref="A2:E2"/>
    <mergeCell ref="C13:M13"/>
    <mergeCell ref="C12:M12"/>
    <mergeCell ref="C32:M32"/>
    <mergeCell ref="C30:M30"/>
    <mergeCell ref="C31:M31"/>
    <mergeCell ref="C5:M5"/>
    <mergeCell ref="C6:M6"/>
    <mergeCell ref="C7:M7"/>
    <mergeCell ref="C8:M8"/>
    <mergeCell ref="C9:M9"/>
    <mergeCell ref="C10:M10"/>
    <mergeCell ref="C11:M11"/>
    <mergeCell ref="C14:M14"/>
    <mergeCell ref="C20:M20"/>
    <mergeCell ref="C15:M15"/>
    <mergeCell ref="C16:M16"/>
    <mergeCell ref="C17:M17"/>
    <mergeCell ref="C18:M18"/>
    <mergeCell ref="C19:M19"/>
    <mergeCell ref="C21:M21"/>
    <mergeCell ref="C52:M52"/>
    <mergeCell ref="C50:M50"/>
    <mergeCell ref="C47:M47"/>
    <mergeCell ref="C48:M48"/>
    <mergeCell ref="C49:M49"/>
    <mergeCell ref="C51:M51"/>
    <mergeCell ref="C40:M40"/>
    <mergeCell ref="C43:M43"/>
    <mergeCell ref="C27:M27"/>
    <mergeCell ref="C28:M28"/>
    <mergeCell ref="C39:M39"/>
    <mergeCell ref="C45:M45"/>
    <mergeCell ref="C46:M46"/>
    <mergeCell ref="C44:M44"/>
    <mergeCell ref="C88:M88"/>
    <mergeCell ref="C89:M89"/>
    <mergeCell ref="C90:M90"/>
    <mergeCell ref="C83:M83"/>
    <mergeCell ref="C84:M84"/>
    <mergeCell ref="C85:M85"/>
    <mergeCell ref="C86:M86"/>
    <mergeCell ref="C68:M68"/>
    <mergeCell ref="C69:M69"/>
    <mergeCell ref="C77:M77"/>
    <mergeCell ref="C78:M78"/>
    <mergeCell ref="C70:M70"/>
    <mergeCell ref="A72:E72"/>
    <mergeCell ref="C73:M73"/>
    <mergeCell ref="C74:M74"/>
    <mergeCell ref="C87:M87"/>
    <mergeCell ref="C79:M79"/>
    <mergeCell ref="C80:M80"/>
    <mergeCell ref="C81:M81"/>
    <mergeCell ref="C82:M82"/>
    <mergeCell ref="C75:M75"/>
    <mergeCell ref="C76:M76"/>
    <mergeCell ref="C62:M62"/>
    <mergeCell ref="C63:M63"/>
    <mergeCell ref="C64:M64"/>
    <mergeCell ref="C65:M65"/>
    <mergeCell ref="C66:M66"/>
    <mergeCell ref="C67:M67"/>
    <mergeCell ref="C34:M34"/>
    <mergeCell ref="C35:M35"/>
    <mergeCell ref="C36:M36"/>
    <mergeCell ref="C61:M61"/>
    <mergeCell ref="C53:M53"/>
    <mergeCell ref="C54:M54"/>
    <mergeCell ref="C55:M55"/>
    <mergeCell ref="C56:M56"/>
    <mergeCell ref="C57:M57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2012-09-12T17:08:16Z</cp:lastPrinted>
  <dcterms:created xsi:type="dcterms:W3CDTF">1997-12-04T19:04:30Z</dcterms:created>
  <dcterms:modified xsi:type="dcterms:W3CDTF">2012-11-21T16:01:25Z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