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B20" i="12"/>
  <c r="B19" i="12"/>
  <c r="C19" i="12"/>
  <c r="C21" i="12"/>
  <c r="B21" i="12"/>
  <c r="C11" i="12"/>
  <c r="B10" i="12"/>
  <c r="B11" i="12"/>
  <c r="C10" i="12"/>
  <c r="C12" i="12" l="1"/>
  <c r="B12" i="12"/>
  <c r="C37" i="12"/>
  <c r="B37" i="12"/>
  <c r="C29" i="12"/>
  <c r="B29" i="12"/>
  <c r="C28" i="12"/>
  <c r="D9" i="13"/>
  <c r="F56" i="1" l="1"/>
  <c r="I13" i="1"/>
  <c r="G96" i="1"/>
  <c r="I494" i="1"/>
  <c r="J497" i="1"/>
  <c r="I497" i="1"/>
  <c r="H497" i="1"/>
  <c r="G497" i="1"/>
  <c r="F497" i="1"/>
  <c r="K425" i="1" l="1"/>
  <c r="J425" i="1"/>
  <c r="I425" i="1"/>
  <c r="H425" i="1"/>
  <c r="G425" i="1"/>
  <c r="F425" i="1"/>
  <c r="J109" i="1"/>
  <c r="H367" i="1"/>
  <c r="G367" i="1"/>
  <c r="F367" i="1"/>
  <c r="G178" i="1"/>
  <c r="H379" i="1" l="1"/>
  <c r="J379" i="1"/>
  <c r="I379" i="1"/>
  <c r="G379" i="1"/>
  <c r="F379" i="1"/>
  <c r="H155" i="1"/>
  <c r="H153" i="1"/>
  <c r="H154" i="1" s="1"/>
  <c r="F69" i="1"/>
  <c r="F119" i="1"/>
  <c r="F10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L316" i="1"/>
  <c r="L318" i="1"/>
  <c r="E117" i="2" s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4" i="1"/>
  <c r="L395" i="1"/>
  <c r="L396" i="1"/>
  <c r="L397" i="1"/>
  <c r="L398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L610" i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F139" i="1" s="1"/>
  <c r="G120" i="1"/>
  <c r="G135" i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3" i="10"/>
  <c r="L249" i="1"/>
  <c r="L331" i="1"/>
  <c r="L253" i="1"/>
  <c r="C24" i="10" s="1"/>
  <c r="L267" i="1"/>
  <c r="L268" i="1"/>
  <c r="L348" i="1"/>
  <c r="L349" i="1"/>
  <c r="I664" i="1"/>
  <c r="I669" i="1"/>
  <c r="F660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C48" i="2"/>
  <c r="D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E75" i="2"/>
  <c r="F75" i="2"/>
  <c r="C76" i="2"/>
  <c r="D76" i="2"/>
  <c r="D77" i="2" s="1"/>
  <c r="E76" i="2"/>
  <c r="F76" i="2"/>
  <c r="G76" i="2"/>
  <c r="G77" i="2" s="1"/>
  <c r="C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 s="1"/>
  <c r="E101" i="2"/>
  <c r="F101" i="2"/>
  <c r="E108" i="2"/>
  <c r="C109" i="2"/>
  <c r="E109" i="2"/>
  <c r="E111" i="2"/>
  <c r="C112" i="2"/>
  <c r="E112" i="2"/>
  <c r="C113" i="2"/>
  <c r="E113" i="2"/>
  <c r="D114" i="2"/>
  <c r="F114" i="2"/>
  <c r="G114" i="2"/>
  <c r="E119" i="2"/>
  <c r="C122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F381" i="1"/>
  <c r="G381" i="1"/>
  <c r="H381" i="1"/>
  <c r="I381" i="1"/>
  <c r="J381" i="1"/>
  <c r="K381" i="1"/>
  <c r="F392" i="1"/>
  <c r="G392" i="1"/>
  <c r="G407" i="1" s="1"/>
  <c r="H644" i="1" s="1"/>
  <c r="H392" i="1"/>
  <c r="F400" i="1"/>
  <c r="G400" i="1"/>
  <c r="H400" i="1"/>
  <c r="F406" i="1"/>
  <c r="G406" i="1"/>
  <c r="H406" i="1"/>
  <c r="I406" i="1"/>
  <c r="F407" i="1"/>
  <c r="H642" i="1" s="1"/>
  <c r="H407" i="1"/>
  <c r="H643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F460" i="1"/>
  <c r="G460" i="1"/>
  <c r="H639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F613" i="1"/>
  <c r="G613" i="1"/>
  <c r="H613" i="1"/>
  <c r="I613" i="1"/>
  <c r="J613" i="1"/>
  <c r="K613" i="1"/>
  <c r="L613" i="1"/>
  <c r="G616" i="1"/>
  <c r="J616" i="1" s="1"/>
  <c r="G617" i="1"/>
  <c r="G618" i="1"/>
  <c r="G619" i="1"/>
  <c r="J619" i="1" s="1"/>
  <c r="G621" i="1"/>
  <c r="G622" i="1"/>
  <c r="G624" i="1"/>
  <c r="G638" i="1"/>
  <c r="H638" i="1"/>
  <c r="G639" i="1"/>
  <c r="G640" i="1"/>
  <c r="G641" i="1"/>
  <c r="G642" i="1"/>
  <c r="G643" i="1"/>
  <c r="G644" i="1"/>
  <c r="G648" i="1"/>
  <c r="G649" i="1"/>
  <c r="G650" i="1"/>
  <c r="G651" i="1"/>
  <c r="H651" i="1"/>
  <c r="J651" i="1" s="1"/>
  <c r="G652" i="1"/>
  <c r="H652" i="1"/>
  <c r="G653" i="1"/>
  <c r="H653" i="1"/>
  <c r="J653" i="1" s="1"/>
  <c r="H654" i="1"/>
  <c r="F191" i="1"/>
  <c r="L255" i="1"/>
  <c r="G163" i="2"/>
  <c r="G159" i="2"/>
  <c r="C18" i="2"/>
  <c r="F31" i="2"/>
  <c r="C26" i="10"/>
  <c r="L350" i="1"/>
  <c r="C69" i="2"/>
  <c r="G8" i="2"/>
  <c r="G161" i="2"/>
  <c r="D61" i="2"/>
  <c r="D62" i="2" s="1"/>
  <c r="E49" i="2"/>
  <c r="D18" i="13"/>
  <c r="C18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D49" i="2"/>
  <c r="G156" i="2"/>
  <c r="F49" i="2"/>
  <c r="F18" i="2"/>
  <c r="G162" i="2"/>
  <c r="G160" i="2"/>
  <c r="G157" i="2"/>
  <c r="G155" i="2"/>
  <c r="E143" i="2"/>
  <c r="G102" i="2"/>
  <c r="E102" i="2"/>
  <c r="C102" i="2"/>
  <c r="D90" i="2"/>
  <c r="F90" i="2"/>
  <c r="C61" i="2"/>
  <c r="E31" i="2"/>
  <c r="C31" i="2"/>
  <c r="G61" i="2"/>
  <c r="D19" i="13"/>
  <c r="C19" i="13" s="1"/>
  <c r="G661" i="1" l="1"/>
  <c r="J433" i="1"/>
  <c r="K256" i="1"/>
  <c r="C25" i="10"/>
  <c r="D126" i="2"/>
  <c r="D127" i="2" s="1"/>
  <c r="H661" i="1"/>
  <c r="D15" i="13"/>
  <c r="C15" i="13" s="1"/>
  <c r="D14" i="13"/>
  <c r="C14" i="13" s="1"/>
  <c r="D12" i="13"/>
  <c r="C12" i="13" s="1"/>
  <c r="C118" i="2"/>
  <c r="C121" i="2"/>
  <c r="C32" i="10"/>
  <c r="D29" i="13"/>
  <c r="C29" i="13" s="1"/>
  <c r="K270" i="1"/>
  <c r="A40" i="12"/>
  <c r="A31" i="12"/>
  <c r="L538" i="1"/>
  <c r="L528" i="1"/>
  <c r="D7" i="13"/>
  <c r="C7" i="13" s="1"/>
  <c r="C124" i="2"/>
  <c r="E114" i="2"/>
  <c r="E121" i="2"/>
  <c r="E123" i="2"/>
  <c r="C62" i="2"/>
  <c r="H458" i="1"/>
  <c r="F50" i="2"/>
  <c r="C12" i="10"/>
  <c r="H51" i="1"/>
  <c r="H618" i="1" s="1"/>
  <c r="C21" i="10"/>
  <c r="C120" i="2"/>
  <c r="C117" i="2"/>
  <c r="C108" i="2"/>
  <c r="E13" i="13"/>
  <c r="C13" i="13" s="1"/>
  <c r="C119" i="2"/>
  <c r="G570" i="1"/>
  <c r="E8" i="13"/>
  <c r="C8" i="13" s="1"/>
  <c r="H646" i="1"/>
  <c r="C123" i="2"/>
  <c r="C127" i="2" s="1"/>
  <c r="C110" i="2"/>
  <c r="C131" i="2"/>
  <c r="F661" i="1"/>
  <c r="I661" i="1" s="1"/>
  <c r="G660" i="1"/>
  <c r="G623" i="1"/>
  <c r="J618" i="1"/>
  <c r="I433" i="1"/>
  <c r="G433" i="1"/>
  <c r="H433" i="1"/>
  <c r="F433" i="1"/>
  <c r="K433" i="1"/>
  <c r="G133" i="2" s="1"/>
  <c r="G143" i="2" s="1"/>
  <c r="G144" i="2" s="1"/>
  <c r="L406" i="1"/>
  <c r="C139" i="2" s="1"/>
  <c r="H660" i="1"/>
  <c r="L361" i="1"/>
  <c r="G634" i="1" s="1"/>
  <c r="J603" i="1"/>
  <c r="J604" i="1" s="1"/>
  <c r="H603" i="1"/>
  <c r="F662" i="1" s="1"/>
  <c r="H662" i="1"/>
  <c r="I603" i="1"/>
  <c r="I604" i="1" s="1"/>
  <c r="G139" i="1"/>
  <c r="D78" i="2"/>
  <c r="D50" i="2"/>
  <c r="G635" i="1"/>
  <c r="I471" i="1"/>
  <c r="I191" i="1"/>
  <c r="J652" i="1"/>
  <c r="E61" i="2"/>
  <c r="E62" i="2" s="1"/>
  <c r="L327" i="1"/>
  <c r="C16" i="10"/>
  <c r="C15" i="10"/>
  <c r="C11" i="10"/>
  <c r="C130" i="2"/>
  <c r="C111" i="2"/>
  <c r="C114" i="2" s="1"/>
  <c r="L246" i="1"/>
  <c r="E124" i="2"/>
  <c r="C20" i="10"/>
  <c r="C18" i="10"/>
  <c r="E118" i="2"/>
  <c r="G31" i="13"/>
  <c r="I337" i="1"/>
  <c r="I351" i="1" s="1"/>
  <c r="F31" i="13"/>
  <c r="L289" i="1"/>
  <c r="K337" i="1"/>
  <c r="K351" i="1" s="1"/>
  <c r="E122" i="2"/>
  <c r="E120" i="2"/>
  <c r="C19" i="10"/>
  <c r="C17" i="10"/>
  <c r="F256" i="1"/>
  <c r="F270" i="1" s="1"/>
  <c r="J649" i="1"/>
  <c r="L228" i="1"/>
  <c r="I256" i="1"/>
  <c r="I270" i="1" s="1"/>
  <c r="G256" i="1"/>
  <c r="G270" i="1" s="1"/>
  <c r="C10" i="10"/>
  <c r="L210" i="1"/>
  <c r="J648" i="1"/>
  <c r="A22" i="12"/>
  <c r="G33" i="13"/>
  <c r="C80" i="2"/>
  <c r="E77" i="2"/>
  <c r="E80" i="2" s="1"/>
  <c r="F103" i="2"/>
  <c r="L426" i="1"/>
  <c r="J256" i="1"/>
  <c r="H647" i="1" s="1"/>
  <c r="H111" i="1"/>
  <c r="F111" i="1"/>
  <c r="J638" i="1"/>
  <c r="J570" i="1"/>
  <c r="K570" i="1"/>
  <c r="L432" i="1"/>
  <c r="L418" i="1"/>
  <c r="D80" i="2"/>
  <c r="I168" i="1"/>
  <c r="H168" i="1"/>
  <c r="G551" i="1"/>
  <c r="E50" i="2"/>
  <c r="J643" i="1"/>
  <c r="J642" i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G22" i="2"/>
  <c r="G31" i="2" s="1"/>
  <c r="J32" i="1"/>
  <c r="K597" i="1"/>
  <c r="G646" i="1" s="1"/>
  <c r="K544" i="1"/>
  <c r="I192" i="1"/>
  <c r="J617" i="1"/>
  <c r="J551" i="1"/>
  <c r="C29" i="10"/>
  <c r="H139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G36" i="2"/>
  <c r="L564" i="1"/>
  <c r="H544" i="1"/>
  <c r="F143" i="2"/>
  <c r="F144" i="2" s="1"/>
  <c r="J646" i="1" l="1"/>
  <c r="J467" i="1"/>
  <c r="I399" i="1"/>
  <c r="E127" i="2"/>
  <c r="E144" i="2" s="1"/>
  <c r="I660" i="1"/>
  <c r="F192" i="1"/>
  <c r="F467" i="1" s="1"/>
  <c r="I458" i="1"/>
  <c r="H459" i="1"/>
  <c r="H460" i="1" s="1"/>
  <c r="H640" i="1" s="1"/>
  <c r="J640" i="1" s="1"/>
  <c r="L391" i="1"/>
  <c r="L392" i="1" s="1"/>
  <c r="C137" i="2" s="1"/>
  <c r="I392" i="1"/>
  <c r="L570" i="1"/>
  <c r="G662" i="1"/>
  <c r="I662" i="1" s="1"/>
  <c r="L433" i="1"/>
  <c r="G637" i="1" s="1"/>
  <c r="G471" i="1"/>
  <c r="H634" i="1" s="1"/>
  <c r="J634" i="1" s="1"/>
  <c r="C27" i="10"/>
  <c r="C28" i="10" s="1"/>
  <c r="D25" i="10" s="1"/>
  <c r="G473" i="1"/>
  <c r="F659" i="1"/>
  <c r="F663" i="1" s="1"/>
  <c r="F666" i="1" s="1"/>
  <c r="H604" i="1"/>
  <c r="K603" i="1"/>
  <c r="K604" i="1" s="1"/>
  <c r="G647" i="1" s="1"/>
  <c r="J647" i="1" s="1"/>
  <c r="G192" i="1"/>
  <c r="G467" i="1" s="1"/>
  <c r="C38" i="10"/>
  <c r="H635" i="1"/>
  <c r="J635" i="1" s="1"/>
  <c r="I473" i="1"/>
  <c r="C39" i="10"/>
  <c r="E103" i="2"/>
  <c r="H192" i="1"/>
  <c r="H467" i="1" s="1"/>
  <c r="C36" i="10"/>
  <c r="G628" i="1"/>
  <c r="J469" i="1"/>
  <c r="H636" i="1"/>
  <c r="H630" i="1"/>
  <c r="G629" i="1"/>
  <c r="I467" i="1"/>
  <c r="G627" i="1"/>
  <c r="G626" i="1"/>
  <c r="L256" i="1"/>
  <c r="L270" i="1" s="1"/>
  <c r="H659" i="1"/>
  <c r="H663" i="1" s="1"/>
  <c r="H666" i="1" s="1"/>
  <c r="J270" i="1"/>
  <c r="C5" i="13"/>
  <c r="C22" i="13"/>
  <c r="F33" i="13"/>
  <c r="C16" i="13"/>
  <c r="E33" i="13"/>
  <c r="D35" i="13" s="1"/>
  <c r="G659" i="1"/>
  <c r="D31" i="13"/>
  <c r="C31" i="13" s="1"/>
  <c r="L337" i="1"/>
  <c r="C25" i="13"/>
  <c r="H33" i="13"/>
  <c r="G630" i="1"/>
  <c r="G645" i="1"/>
  <c r="L399" i="1" l="1"/>
  <c r="L400" i="1" s="1"/>
  <c r="C138" i="2" s="1"/>
  <c r="C140" i="2" s="1"/>
  <c r="C143" i="2" s="1"/>
  <c r="C144" i="2" s="1"/>
  <c r="I400" i="1"/>
  <c r="I407" i="1"/>
  <c r="J47" i="1"/>
  <c r="I459" i="1"/>
  <c r="I460" i="1" s="1"/>
  <c r="H641" i="1" s="1"/>
  <c r="J641" i="1" s="1"/>
  <c r="L407" i="1"/>
  <c r="H645" i="1" s="1"/>
  <c r="J645" i="1" s="1"/>
  <c r="J630" i="1"/>
  <c r="J471" i="1"/>
  <c r="J473" i="1" s="1"/>
  <c r="J475" i="1" s="1"/>
  <c r="H625" i="1" s="1"/>
  <c r="F671" i="1"/>
  <c r="C4" i="10" s="1"/>
  <c r="F471" i="1"/>
  <c r="C41" i="10"/>
  <c r="D39" i="10" s="1"/>
  <c r="H629" i="1"/>
  <c r="J629" i="1" s="1"/>
  <c r="I469" i="1"/>
  <c r="I475" i="1" s="1"/>
  <c r="H624" i="1" s="1"/>
  <c r="J624" i="1" s="1"/>
  <c r="H469" i="1"/>
  <c r="H628" i="1"/>
  <c r="J628" i="1" s="1"/>
  <c r="G469" i="1"/>
  <c r="G475" i="1" s="1"/>
  <c r="H622" i="1" s="1"/>
  <c r="J622" i="1" s="1"/>
  <c r="H627" i="1"/>
  <c r="J627" i="1" s="1"/>
  <c r="H626" i="1"/>
  <c r="J626" i="1" s="1"/>
  <c r="F469" i="1"/>
  <c r="L351" i="1"/>
  <c r="H671" i="1"/>
  <c r="C6" i="10" s="1"/>
  <c r="G631" i="1"/>
  <c r="D10" i="10"/>
  <c r="D26" i="10"/>
  <c r="D15" i="10"/>
  <c r="D13" i="10"/>
  <c r="D27" i="10"/>
  <c r="D20" i="10"/>
  <c r="D18" i="10"/>
  <c r="D24" i="10"/>
  <c r="D17" i="10"/>
  <c r="D21" i="10"/>
  <c r="D12" i="10"/>
  <c r="D16" i="10"/>
  <c r="D19" i="10"/>
  <c r="D23" i="10"/>
  <c r="D22" i="10"/>
  <c r="C30" i="10"/>
  <c r="D11" i="10"/>
  <c r="G636" i="1"/>
  <c r="J636" i="1" s="1"/>
  <c r="D33" i="13"/>
  <c r="D36" i="13" s="1"/>
  <c r="G663" i="1"/>
  <c r="I659" i="1"/>
  <c r="I663" i="1" s="1"/>
  <c r="D35" i="10"/>
  <c r="G46" i="2" l="1"/>
  <c r="G49" i="2" s="1"/>
  <c r="G50" i="2" s="1"/>
  <c r="J50" i="1"/>
  <c r="G632" i="1"/>
  <c r="H471" i="1"/>
  <c r="H637" i="1"/>
  <c r="J637" i="1" s="1"/>
  <c r="H631" i="1"/>
  <c r="J631" i="1" s="1"/>
  <c r="F473" i="1"/>
  <c r="F475" i="1" s="1"/>
  <c r="H621" i="1" s="1"/>
  <c r="D36" i="10"/>
  <c r="D38" i="10"/>
  <c r="D40" i="10"/>
  <c r="D37" i="10"/>
  <c r="D28" i="10"/>
  <c r="I666" i="1"/>
  <c r="I671" i="1"/>
  <c r="C7" i="10" s="1"/>
  <c r="G671" i="1"/>
  <c r="C5" i="10" s="1"/>
  <c r="G666" i="1"/>
  <c r="J51" i="1" l="1"/>
  <c r="H620" i="1" s="1"/>
  <c r="J620" i="1" s="1"/>
  <c r="G625" i="1"/>
  <c r="J625" i="1" s="1"/>
  <c r="H473" i="1"/>
  <c r="H475" i="1" s="1"/>
  <c r="H623" i="1" s="1"/>
  <c r="J623" i="1" s="1"/>
  <c r="H632" i="1"/>
  <c r="J632" i="1" s="1"/>
  <c r="J621" i="1"/>
  <c r="D41" i="10"/>
  <c r="H655" i="1" l="1"/>
  <c r="L531" i="1" l="1"/>
  <c r="H549" i="1" s="1"/>
  <c r="K549" i="1" s="1"/>
  <c r="L532" i="1" l="1"/>
  <c r="H550" i="1" s="1"/>
  <c r="K550" i="1" s="1"/>
  <c r="F533" i="1" l="1"/>
  <c r="F544" i="1" s="1"/>
  <c r="G533" i="1"/>
  <c r="G544" i="1" s="1"/>
  <c r="L530" i="1"/>
  <c r="H548" i="1" l="1"/>
  <c r="L533" i="1"/>
  <c r="H551" i="1" l="1"/>
  <c r="K548" i="1"/>
  <c r="K551" i="1" s="1"/>
  <c r="L544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<sst xmlns="http://schemas.openxmlformats.org/spreadsheetml/2006/main" count="3951" uniqueCount="915">
  <si>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</si>
  <si>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</si>
  <si>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</si>
  <si>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</si>
  <si>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</si>
  <si>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</si>
  <si>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</si>
  <si>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</si>
  <si>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</si>
  <si>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</si>
  <si>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</si>
  <si>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</si>
  <si>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</si>
  <si>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</si>
  <si>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</si>
  <si>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</si>
  <si>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</si>
  <si>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</si>
  <si>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</si>
  <si>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</si>
  <si>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</si>
  <si>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</si>
  <si>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</si>
  <si>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</si>
  <si>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</si>
  <si>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</si>
  <si>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</si>
  <si>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</si>
  <si>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</si>
  <si>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</si>
  <si>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</si>
  <si>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</si>
  <si>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</si>
  <si>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</si>
  <si>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</si>
  <si>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</si>
  <si>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</si>
  <si>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</si>
  <si>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</si>
  <si>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</si>
  <si>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</si>
  <si>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</si>
  <si>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</si>
  <si>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</si>
  <si>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</si>
  <si>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</si>
  <si>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</si>
  <si>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</si>
  <si>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</si>
  <si>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</si>
  <si>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</si>
  <si>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</si>
  <si>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</si>
  <si>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</si>
  <si>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</si>
  <si>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</si>
  <si>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</si>
  <si>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</si>
  <si>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</si>
  <si>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</si>
  <si>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</si>
  <si>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</si>
  <si>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</si>
  <si>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</si>
  <si>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</si>
  <si>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</si>
  <si>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</si>
  <si>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</si>
  <si>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</si>
  <si>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</si>
  <si>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</si>
  <si>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</si>
  <si>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</si>
  <si>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</si>
  <si>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</si>
  <si>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</si>
  <si>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</si>
  <si>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</si>
  <si>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</si>
  <si>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</si>
  <si>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</si>
  <si>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</si>
  <si>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</si>
  <si>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</si>
  <si>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</si>
  <si>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</si>
  <si>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</si>
  <si>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</si>
  <si>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</si>
  <si>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</si>
  <si>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</si>
  <si>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</si>
  <si>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</si>
  <si>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</si>
  <si>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</si>
  <si>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</si>
  <si>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</si>
  <si>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</si>
  <si>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</si>
  <si>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</si>
  <si>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</si>
  <si>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</si>
  <si>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</si>
  <si>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</si>
  <si>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</si>
  <si>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</si>
  <si>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</si>
  <si>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</si>
  <si>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</si>
  <si>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</si>
  <si>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</si>
  <si>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</si>
  <si>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</si>
  <si>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</si>
  <si>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</si>
  <si>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</si>
  <si>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</si>
  <si>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</si>
  <si>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</si>
  <si>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</si>
  <si>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</si>
  <si>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</si>
  <si>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</si>
  <si>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</si>
  <si>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</si>
  <si>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</si>
  <si>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</si>
  <si>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</si>
  <si>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</si>
  <si>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</si>
  <si>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</si>
  <si>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</si>
  <si>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</si>
  <si>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</si>
  <si>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</si>
  <si>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</si>
  <si>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</si>
  <si>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</si>
  <si>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</si>
  <si>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</si>
  <si>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</si>
  <si>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</si>
  <si>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</si>
  <si>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</si>
  <si>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</si>
  <si>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</si>
  <si>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</si>
  <si>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</si>
  <si>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</si>
  <si>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</si>
  <si>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</si>
  <si>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</si>
  <si>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</si>
  <si>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</si>
  <si>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</si>
  <si>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</si>
  <si>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</si>
  <si>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</si>
  <si>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</si>
  <si>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</si>
  <si>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</si>
  <si>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</si>
  <si>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</si>
  <si>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</si>
  <si>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</si>
  <si>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</si>
  <si>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</si>
  <si>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</si>
  <si>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</si>
  <si>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</si>
  <si>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</si>
  <si>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</si>
  <si>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</si>
  <si>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</si>
  <si>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</si>
  <si>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</si>
  <si>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</si>
  <si>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</si>
  <si>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</si>
  <si>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</si>
  <si>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</si>
  <si>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</si>
  <si>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</si>
  <si>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</si>
  <si>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</si>
  <si>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</si>
  <si>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</si>
  <si>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</si>
  <si>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</si>
  <si>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</si>
  <si>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</si>
  <si>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</si>
  <si>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</si>
  <si>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</si>
  <si>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</si>
  <si>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</si>
  <si>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</si>
  <si>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</si>
  <si>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</si>
  <si>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</si>
  <si>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</si>
  <si>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</si>
  <si>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</si>
  <si>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</si>
  <si>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</si>
  <si>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</si>
  <si>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</si>
  <si>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</si>
  <si>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</si>
  <si>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</si>
  <si>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</si>
  <si>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</si>
  <si>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</si>
  <si>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</si>
  <si>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</si>
  <si>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</si>
  <si>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</si>
  <si>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</si>
  <si>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</si>
  <si>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</si>
  <si>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</si>
  <si>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</si>
  <si>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</si>
  <si>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</si>
  <si>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</si>
  <si>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</si>
  <si>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</si>
  <si>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</si>
  <si>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</si>
  <si>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</si>
  <si>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</si>
  <si>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</si>
  <si>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</si>
  <si>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</si>
  <si>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</si>
  <si>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</si>
  <si>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</si>
  <si>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</si>
  <si>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</si>
  <si>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</si>
  <si>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</si>
  <si>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</si>
  <si>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</si>
  <si>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</si>
  <si>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</si>
  <si>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</si>
  <si>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</si>
  <si>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</si>
  <si>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</si>
  <si>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</si>
  <si>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</si>
  <si>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</si>
  <si>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</si>
  <si>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</si>
  <si>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</si>
  <si>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</si>
  <si>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</si>
  <si>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</si>
  <si>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</si>
  <si>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</si>
  <si>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</si>
  <si>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</si>
  <si>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</si>
  <si>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</si>
  <si>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</si>
  <si>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</si>
  <si>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</si>
  <si>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</si>
  <si>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</si>
  <si>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</si>
  <si>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</si>
  <si>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</si>
  <si>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</si>
  <si>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</si>
  <si>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</si>
  <si>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</si>
  <si>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</si>
  <si>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</si>
  <si>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</si>
  <si>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</si>
  <si>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</si>
  <si>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</si>
  <si>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</si>
  <si>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</si>
  <si>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</si>
  <si>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</si>
  <si>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</si>
  <si>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</si>
  <si>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</si>
  <si>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</si>
  <si>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</si>
  <si>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</si>
  <si>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</si>
  <si>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</si>
  <si>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</si>
  <si>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</si>
  <si>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</si>
  <si>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</si>
  <si>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</si>
  <si>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</si>
  <si>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</si>
  <si>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</si>
  <si>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</si>
  <si>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</si>
  <si>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</si>
  <si>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</si>
  <si>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</si>
  <si>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</si>
  <si>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</si>
  <si>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</si>
  <si>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</si>
  <si>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</si>
  <si>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</si>
  <si>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</si>
  <si>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</si>
  <si>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</si>
  <si>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</si>
  <si>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</si>
  <si>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</si>
  <si>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</si>
  <si>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</si>
  <si>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</si>
  <si>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</si>
  <si>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</si>
  <si>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</si>
  <si>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</si>
  <si>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</si>
  <si>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</si>
  <si>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</si>
  <si>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</si>
  <si>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</si>
  <si>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</si>
  <si>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</si>
  <si>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</si>
  <si>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</si>
  <si>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</si>
  <si>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</si>
  <si>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</si>
  <si>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</si>
  <si>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</si>
  <si>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</si>
  <si>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</si>
  <si>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</si>
  <si>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</si>
  <si>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</si>
  <si>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</si>
  <si>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</si>
  <si>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</si>
  <si>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</si>
  <si>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</si>
  <si>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</si>
  <si>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</si>
  <si>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</si>
  <si>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</si>
  <si>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</si>
  <si>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</si>
  <si>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</si>
  <si>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</si>
  <si>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</si>
  <si>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</si>
  <si>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</si>
  <si>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</si>
  <si>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</si>
  <si>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</si>
  <si>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</si>
  <si>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</si>
  <si>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</si>
  <si>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</si>
  <si>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</si>
  <si>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</si>
  <si>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</si>
  <si>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</si>
  <si>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</si>
  <si>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</si>
  <si>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</si>
  <si>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</si>
  <si>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</si>
  <si>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</si>
  <si>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</si>
  <si>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</si>
  <si>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</si>
  <si>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</si>
  <si>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</si>
  <si>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</si>
  <si>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</si>
  <si>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</si>
  <si>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</si>
  <si>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</si>
  <si>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</si>
  <si>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</si>
  <si>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</si>
  <si>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</si>
  <si>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</si>
  <si>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</si>
  <si>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</si>
  <si>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</si>
  <si>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</si>
  <si>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</si>
  <si>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</si>
  <si>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</si>
  <si>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</si>
  <si>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</si>
  <si>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</si>
  <si>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</si>
  <si>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</si>
  <si>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</si>
  <si>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</si>
  <si>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</si>
  <si>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</si>
  <si>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</si>
  <si>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</si>
  <si>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</si>
  <si>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</si>
  <si>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</si>
  <si>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</si>
  <si>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</si>
  <si>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</si>
  <si>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</si>
  <si>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</si>
  <si>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</si>
  <si>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</si>
  <si>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</si>
  <si>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</si>
  <si>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</si>
  <si>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</si>
  <si>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</si>
  <si>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</si>
  <si>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</si>
  <si>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</si>
  <si>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</si>
  <si>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</si>
  <si>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</si>
  <si>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</si>
  <si>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</si>
  <si>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</si>
  <si>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</si>
  <si>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</si>
  <si>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</si>
  <si>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</si>
  <si>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</si>
  <si>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</si>
  <si>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</si>
  <si>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</si>
  <si>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</si>
  <si>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</si>
  <si>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</si>
  <si>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</si>
  <si>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</si>
  <si>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</si>
  <si>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</si>
  <si>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</si>
  <si>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</si>
  <si>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</si>
  <si>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</si>
  <si>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</si>
  <si>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</si>
  <si>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</si>
  <si>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</si>
  <si>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</si>
  <si>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</si>
  <si>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</si>
  <si>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</si>
  <si>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</si>
  <si>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</si>
  <si>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</si>
  <si>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</si>
  <si>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</si>
  <si>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</si>
  <si>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</si>
  <si>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</si>
  <si>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</si>
  <si>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</si>
  <si>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</si>
  <si>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</si>
  <si>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</si>
  <si>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</si>
  <si>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</si>
  <si>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</si>
  <si>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</si>
  <si>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</si>
  <si>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</si>
  <si>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</si>
  <si>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</si>
  <si>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</si>
  <si>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</si>
  <si>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</si>
  <si>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</si>
  <si>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</si>
  <si>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</si>
  <si>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</si>
  <si>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</si>
  <si>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</si>
  <si>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</si>
  <si>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</si>
  <si>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</si>
  <si>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</si>
  <si>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</si>
  <si>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</si>
  <si>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</si>
  <si>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</si>
  <si>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</si>
  <si>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</si>
  <si>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</si>
  <si>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</si>
  <si>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</si>
  <si>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</si>
  <si>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</si>
  <si>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</si>
  <si>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</si>
  <si>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</si>
  <si>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</si>
  <si>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</si>
  <si>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</si>
  <si>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</si>
  <si>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</si>
  <si>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</si>
  <si>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</si>
  <si>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</si>
  <si>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</si>
  <si>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</si>
  <si>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</si>
  <si>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</si>
  <si>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</si>
  <si>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</si>
  <si>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</si>
  <si>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</si>
  <si>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</si>
  <si>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</si>
  <si>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</si>
  <si>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</si>
  <si>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</si>
  <si>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</si>
  <si>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</si>
  <si>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</si>
  <si>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</si>
  <si>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</si>
  <si>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</si>
  <si>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</si>
  <si>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</si>
  <si>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</si>
  <si>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</si>
  <si>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</si>
  <si>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</si>
  <si>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</si>
  <si>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</si>
  <si>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</si>
  <si>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</si>
  <si>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</si>
  <si>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</si>
  <si>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</si>
  <si>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</si>
  <si>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</si>
  <si>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</si>
  <si>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</si>
  <si>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</si>
  <si>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</si>
  <si>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</si>
  <si>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</si>
  <si>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</si>
  <si>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</si>
  <si>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</si>
  <si>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</si>
  <si>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</si>
  <si>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</si>
  <si>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</si>
  <si>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</si>
  <si>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</si>
  <si>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</si>
  <si>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</si>
  <si>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</si>
  <si>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</si>
  <si>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</si>
  <si>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</si>
  <si>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</si>
  <si>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</si>
  <si>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</si>
  <si>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</si>
  <si>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</si>
  <si>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</si>
  <si>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</si>
  <si>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</si>
  <si>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</si>
  <si>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</si>
  <si>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</si>
  <si>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</si>
  <si>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</si>
  <si>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</si>
  <si>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</si>
  <si>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</si>
  <si>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</si>
  <si>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</si>
  <si>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</si>
  <si>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</si>
  <si>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</si>
  <si>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</si>
  <si>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</si>
  <si>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</si>
  <si>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</si>
  <si>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</si>
  <si>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</si>
  <si>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</si>
  <si>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</si>
  <si>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</si>
  <si>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</si>
  <si>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</si>
  <si>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</si>
  <si>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</si>
  <si>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</si>
  <si>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</si>
  <si>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</si>
  <si>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</si>
  <si>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</si>
  <si>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</si>
  <si>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</si>
  <si>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</si>
  <si>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</si>
  <si>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</si>
  <si>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</si>
  <si>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</si>
  <si>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</si>
  <si>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</si>
  <si>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</si>
  <si>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</si>
  <si>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</si>
  <si>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</si>
  <si>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</si>
  <si>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</si>
  <si>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</si>
  <si>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</si>
  <si>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</si>
  <si>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</si>
  <si>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</si>
  <si>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</si>
  <si>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</si>
  <si>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</si>
  <si>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</si>
  <si>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</si>
  <si>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</si>
  <si>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</si>
  <si>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</si>
  <si>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</si>
  <si>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</si>
  <si>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</si>
  <si>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</si>
  <si>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</si>
  <si>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</si>
  <si>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</si>
  <si>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</si>
  <si>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</si>
  <si>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</si>
  <si>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</si>
  <si>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</si>
  <si>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</si>
  <si>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</si>
  <si>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</si>
  <si>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</si>
  <si>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</si>
  <si>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</si>
  <si>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</si>
  <si>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</si>
  <si>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</si>
  <si>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</si>
  <si>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</si>
  <si>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</si>
  <si>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</si>
  <si>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</si>
  <si>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</si>
  <si>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</si>
  <si>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</si>
  <si>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</si>
  <si>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</si>
  <si>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</si>
  <si>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</si>
  <si>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</si>
  <si>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</si>
  <si>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</si>
  <si>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</si>
  <si>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</si>
  <si>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</si>
  <si>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</si>
  <si>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</si>
  <si>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</si>
  <si>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</si>
  <si>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</si>
  <si>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</si>
  <si>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</si>
  <si>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</si>
  <si>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</si>
  <si>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</si>
  <si>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</si>
  <si>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</si>
  <si>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</si>
  <si>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</si>
  <si>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</si>
  <si>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</si>
  <si>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</si>
  <si>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</si>
  <si>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</si>
  <si>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</si>
  <si>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</si>
  <si>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</si>
  <si>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</si>
  <si>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</si>
  <si>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</si>
  <si>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</si>
  <si>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</si>
  <si>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</si>
  <si>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</si>
  <si>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</si>
  <si>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</si>
  <si>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</si>
  <si>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</si>
  <si>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</si>
  <si>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</si>
  <si>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</si>
  <si>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</si>
  <si>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</si>
  <si>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</si>
  <si>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</si>
  <si>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</si>
  <si>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</si>
  <si>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</si>
  <si>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</si>
  <si>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</si>
  <si>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</si>
  <si>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</si>
  <si>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</si>
  <si>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</si>
  <si>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</si>
  <si>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</si>
  <si>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</si>
  <si>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</si>
  <si>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</si>
  <si>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</si>
  <si>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</si>
  <si>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</si>
  <si>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</si>
  <si>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</si>
  <si>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</si>
  <si>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</si>
  <si>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</si>
  <si>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</si>
  <si>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</si>
  <si>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</si>
  <si>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</si>
  <si>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</si>
  <si>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</si>
  <si>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</si>
  <si>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</si>
  <si>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</si>
  <si>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</si>
  <si>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</si>
  <si>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</si>
  <si>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</si>
  <si>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</si>
  <si>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</si>
  <si>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</si>
  <si>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</si>
  <si>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</si>
  <si>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</si>
  <si>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</si>
  <si>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</si>
  <si>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</si>
  <si>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</si>
  <si>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</si>
  <si>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</si>
  <si>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</si>
  <si>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</si>
  <si>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</si>
  <si>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</si>
  <si>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</si>
  <si>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</si>
  <si>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</si>
  <si>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</si>
  <si>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</si>
  <si>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</si>
  <si>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</si>
  <si>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</si>
  <si>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</si>
  <si>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</si>
  <si>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</si>
  <si>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</si>
  <si>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</si>
  <si>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</si>
  <si>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</si>
  <si>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</si>
  <si>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</si>
  <si>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</si>
  <si>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</si>
  <si>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</si>
  <si>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</si>
  <si>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</si>
  <si>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</si>
  <si>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</si>
  <si>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</si>
  <si>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</si>
  <si>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</si>
  <si>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</si>
  <si>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</si>
  <si>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</si>
  <si>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</si>
  <si>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</si>
  <si>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</si>
  <si>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</si>
  <si>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</si>
  <si>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</si>
  <si>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</si>
  <si>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</si>
  <si>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</si>
  <si>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</si>
  <si>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</si>
  <si>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</si>
  <si>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</si>
  <si>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</si>
  <si>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</si>
  <si>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</si>
  <si>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</si>
  <si>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</si>
  <si>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</si>
  <si>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</si>
  <si>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</si>
  <si>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</si>
  <si>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</si>
  <si>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</si>
  <si>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</si>
  <si>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</si>
  <si>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</si>
  <si>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</si>
  <si>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</si>
  <si>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</si>
  <si>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</si>
  <si>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</si>
  <si>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</si>
  <si>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</si>
  <si>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</si>
  <si>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</si>
  <si>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</si>
  <si>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</si>
  <si>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</si>
  <si>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</si>
  <si>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</si>
  <si>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</si>
  <si>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</si>
  <si>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</si>
  <si>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</si>
  <si>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</si>
  <si>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</si>
  <si>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</si>
  <si>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</si>
  <si>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</si>
  <si>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</si>
  <si>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</si>
  <si>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</si>
  <si>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</si>
  <si>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</si>
  <si>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</si>
  <si>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</si>
  <si>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</si>
  <si>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</si>
  <si>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</si>
  <si>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</si>
  <si>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</si>
  <si>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</si>
  <si>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</si>
  <si>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</si>
  <si>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</si>
  <si>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</si>
  <si>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</si>
  <si>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</si>
  <si>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</si>
  <si>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</si>
  <si>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</si>
  <si>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</si>
  <si>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</si>
  <si>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</si>
  <si>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</si>
  <si>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</si>
  <si>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</si>
  <si>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</si>
  <si>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</si>
  <si>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</si>
  <si>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</si>
  <si>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</si>
  <si>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</si>
  <si>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</si>
  <si>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</si>
  <si>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</si>
  <si>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</si>
  <si>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</si>
  <si>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</si>
  <si>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</si>
  <si>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</si>
  <si>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</si>
  <si>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</si>
  <si>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</si>
  <si>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</si>
  <si>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</si>
  <si>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</si>
  <si>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</si>
  <si>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</si>
  <si>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</si>
  <si>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</si>
  <si>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</si>
  <si>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</si>
  <si>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</si>
  <si>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</si>
  <si>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</si>
  <si>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</si>
  <si>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</si>
  <si>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</t>
  </si>
  <si>
    <t>07/08</t>
  </si>
  <si>
    <t>01/10</t>
  </si>
  <si>
    <t>08/18</t>
  </si>
  <si>
    <t>01/30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</si>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</sst>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5" t="s">
        <v>914</v>
      </c>
      <c r="B2" s="21">
        <v>491</v>
      </c>
      <c r="C2" s="21">
        <v>491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51952.56</v>
      </c>
      <c r="G13" s="18">
        <v>63123.76</v>
      </c>
      <c r="H13" s="18">
        <v>325718.84000000003</v>
      </c>
      <c r="I13" s="18">
        <f>544744.33-143.14</f>
        <v>544601.18999999994</v>
      </c>
      <c r="J13" s="67">
        <f>SUM(I441)</f>
        <v>120686.34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36120.5</v>
      </c>
      <c r="G14" s="18">
        <v>4843.72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88073.06</v>
      </c>
      <c r="G19" s="41">
        <f>SUM(G9:G18)</f>
        <v>67967.48</v>
      </c>
      <c r="H19" s="41">
        <f>SUM(H9:H18)</f>
        <v>325718.84000000003</v>
      </c>
      <c r="I19" s="41">
        <f>SUM(I9:I18)</f>
        <v>544601.18999999994</v>
      </c>
      <c r="J19" s="41">
        <f>SUM(J9:J18)</f>
        <v>120686.34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50667.39</v>
      </c>
      <c r="H23" s="18">
        <v>260743.41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88073.06</v>
      </c>
      <c r="G24" s="18">
        <v>13963.35</v>
      </c>
      <c r="H24" s="18">
        <v>18496.52</v>
      </c>
      <c r="I24" s="18">
        <v>27209.87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50000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88073.06</v>
      </c>
      <c r="G32" s="41">
        <f>SUM(G22:G31)</f>
        <v>64630.74</v>
      </c>
      <c r="H32" s="41">
        <f>SUM(H22:H31)</f>
        <v>279239.93</v>
      </c>
      <c r="I32" s="41">
        <f>SUM(I22:I31)</f>
        <v>77209.87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3336.74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467391.32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46478.91</v>
      </c>
      <c r="I47" s="18">
        <v>0</v>
      </c>
      <c r="J47" s="13">
        <f>SUM(I458)</f>
        <v>120686.34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3336.74</v>
      </c>
      <c r="H50" s="41">
        <f>SUM(H35:H49)</f>
        <v>46478.91</v>
      </c>
      <c r="I50" s="41">
        <f>SUM(I35:I49)</f>
        <v>467391.32</v>
      </c>
      <c r="J50" s="41">
        <f>SUM(J35:J49)</f>
        <v>120686.34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88073.06</v>
      </c>
      <c r="G51" s="41">
        <f>G50+G32</f>
        <v>67967.48</v>
      </c>
      <c r="H51" s="41">
        <f>H50+H32</f>
        <v>325718.83999999997</v>
      </c>
      <c r="I51" s="41">
        <f>I50+I32</f>
        <v>544601.18999999994</v>
      </c>
      <c r="J51" s="41">
        <f>J50+J32</f>
        <v>120686.34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11433585-22623.2+0.16</f>
        <v>11410961.960000001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11410961.960000001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1473979.31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-16257.1+30327.14</f>
        <v>14070.039999999999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1488049.35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3967.95</v>
      </c>
      <c r="J95" s="18">
        <v>0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130868.72+10449+5086-13595.84+15831.59+109916.87-86.27</f>
        <v>258470.07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2675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42812.53</f>
        <v>42812.53</v>
      </c>
      <c r="G109" s="18">
        <v>17199.52</v>
      </c>
      <c r="H109" s="18">
        <v>0</v>
      </c>
      <c r="I109" s="18">
        <v>0</v>
      </c>
      <c r="J109" s="18">
        <f>187821.37</f>
        <v>187821.37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45487.53</v>
      </c>
      <c r="G110" s="41">
        <f>SUM(G95:G109)</f>
        <v>275669.59000000003</v>
      </c>
      <c r="H110" s="41">
        <f>SUM(H95:H109)</f>
        <v>0</v>
      </c>
      <c r="I110" s="41">
        <f>SUM(I95:I109)</f>
        <v>3967.95</v>
      </c>
      <c r="J110" s="41">
        <f>SUM(J95:J109)</f>
        <v>187821.37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12944498.84</v>
      </c>
      <c r="G111" s="41">
        <f>G59+G110</f>
        <v>275669.59000000003</v>
      </c>
      <c r="H111" s="41">
        <f>H59+H78+H93+H110</f>
        <v>0</v>
      </c>
      <c r="I111" s="41">
        <f>I59+I110</f>
        <v>3967.95</v>
      </c>
      <c r="J111" s="41">
        <f>J59+J110</f>
        <v>187821.37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7282439.25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2010945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6309.75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f>15570.27</f>
        <v>15570.27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9315264.2699999996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1014795.06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500960.87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86200.639999999999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28459.96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7449.27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1630416.53</v>
      </c>
      <c r="G135" s="41">
        <f>SUM(G122:G134)</f>
        <v>7449.27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10945680.799999999</v>
      </c>
      <c r="G139" s="41">
        <f>G120+SUM(G135:G136)</f>
        <v>7449.27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18768.35+570204.45</f>
        <v>588972.79999999993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1505211.09-H153-H155-H160</f>
        <v>594509.06000000017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105940.55+13661.35</f>
        <v>119601.90000000001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336408.5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261504.46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202127.33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261504.46</v>
      </c>
      <c r="G161" s="41">
        <f>SUM(G149:G160)</f>
        <v>336408.5</v>
      </c>
      <c r="H161" s="41">
        <f>SUM(H149:H160)</f>
        <v>1505211.09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261504.46</v>
      </c>
      <c r="G168" s="41">
        <f>G146+G161+SUM(G162:G167)</f>
        <v>336408.5</v>
      </c>
      <c r="H168" s="41">
        <f>H146+H161+SUM(H162:H167)</f>
        <v>1505211.09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5000+121949</f>
        <v>126949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126949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126949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24151684.100000001</v>
      </c>
      <c r="G192" s="47">
        <f>G111+G139+G168+G191</f>
        <v>746476.3600000001</v>
      </c>
      <c r="H192" s="47">
        <f>H111+H139+H168+H191</f>
        <v>1505211.09</v>
      </c>
      <c r="I192" s="47">
        <f>I111+I139+I168+I191</f>
        <v>3967.95</v>
      </c>
      <c r="J192" s="47">
        <f>J111+J139+J191</f>
        <v>187821.37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2031524.6317999999</v>
      </c>
      <c r="G196" s="18">
        <v>1102534.4109</v>
      </c>
      <c r="H196" s="18">
        <v>54020.498</v>
      </c>
      <c r="I196" s="18">
        <v>144951.85</v>
      </c>
      <c r="J196" s="18">
        <v>27409.810000000005</v>
      </c>
      <c r="K196" s="18">
        <v>0</v>
      </c>
      <c r="L196" s="19">
        <f>SUM(F196:K196)</f>
        <v>3360441.2007000004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898778.92</v>
      </c>
      <c r="G197" s="18">
        <v>625582.62000000011</v>
      </c>
      <c r="H197" s="18">
        <v>186201.91310000001</v>
      </c>
      <c r="I197" s="18">
        <v>13495.919999999998</v>
      </c>
      <c r="J197" s="18">
        <v>57.9</v>
      </c>
      <c r="K197" s="18">
        <v>0</v>
      </c>
      <c r="L197" s="19">
        <f>SUM(F197:K197)</f>
        <v>1724117.2730999999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341322.86000000004</v>
      </c>
      <c r="G201" s="18">
        <v>178555.41</v>
      </c>
      <c r="H201" s="18">
        <v>157162.13829999999</v>
      </c>
      <c r="I201" s="18">
        <v>6695.61</v>
      </c>
      <c r="J201" s="18">
        <v>0</v>
      </c>
      <c r="K201" s="18">
        <v>4776.5919000000004</v>
      </c>
      <c r="L201" s="19">
        <f t="shared" ref="L201:L207" si="0">SUM(F201:K201)</f>
        <v>688512.6102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0</v>
      </c>
      <c r="H202" s="18">
        <v>17162.194200000002</v>
      </c>
      <c r="I202" s="18">
        <v>16649.54</v>
      </c>
      <c r="J202" s="18">
        <v>0</v>
      </c>
      <c r="K202" s="18">
        <v>0</v>
      </c>
      <c r="L202" s="19">
        <f t="shared" si="0"/>
        <v>33811.734200000006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v>346898.01029999997</v>
      </c>
      <c r="I203" s="18">
        <v>2058.7799</v>
      </c>
      <c r="J203" s="18">
        <v>0</v>
      </c>
      <c r="K203" s="18">
        <v>1992.3427000000001</v>
      </c>
      <c r="L203" s="19">
        <f t="shared" si="0"/>
        <v>350949.13289999997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350659.24</v>
      </c>
      <c r="G204" s="18">
        <v>148793.54999999999</v>
      </c>
      <c r="H204" s="18">
        <v>11279.290300000001</v>
      </c>
      <c r="I204" s="18">
        <v>3955.7699999999995</v>
      </c>
      <c r="J204" s="18">
        <v>2881.8199999999997</v>
      </c>
      <c r="K204" s="18">
        <v>2160</v>
      </c>
      <c r="L204" s="19">
        <f t="shared" si="0"/>
        <v>519729.6703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292133.67249999999</v>
      </c>
      <c r="G206" s="18">
        <v>133833.7763</v>
      </c>
      <c r="H206" s="18">
        <v>208003.47320000001</v>
      </c>
      <c r="I206" s="18">
        <v>238622.4552</v>
      </c>
      <c r="J206" s="18">
        <v>470.98</v>
      </c>
      <c r="K206" s="18">
        <v>0</v>
      </c>
      <c r="L206" s="19">
        <f t="shared" si="0"/>
        <v>873064.35719999997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384518.22020000004</v>
      </c>
      <c r="I207" s="18">
        <v>1331.1675</v>
      </c>
      <c r="J207" s="18">
        <v>0</v>
      </c>
      <c r="K207" s="18">
        <v>0</v>
      </c>
      <c r="L207" s="19">
        <f t="shared" si="0"/>
        <v>385849.38770000002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95378.500100000005</v>
      </c>
      <c r="I208" s="18">
        <v>0</v>
      </c>
      <c r="J208" s="18">
        <v>0</v>
      </c>
      <c r="K208" s="18">
        <v>0</v>
      </c>
      <c r="L208" s="19">
        <f>SUM(F208:K208)</f>
        <v>95378.500100000005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3914419.3243</v>
      </c>
      <c r="G210" s="41">
        <f t="shared" si="1"/>
        <v>2189299.7672000001</v>
      </c>
      <c r="H210" s="41">
        <f t="shared" si="1"/>
        <v>1460624.2377000002</v>
      </c>
      <c r="I210" s="41">
        <f t="shared" si="1"/>
        <v>427761.09259999997</v>
      </c>
      <c r="J210" s="41">
        <f t="shared" si="1"/>
        <v>30820.510000000006</v>
      </c>
      <c r="K210" s="41">
        <f t="shared" si="1"/>
        <v>8928.9346000000005</v>
      </c>
      <c r="L210" s="41">
        <f t="shared" si="1"/>
        <v>8031853.8663999988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1478829.0134000001</v>
      </c>
      <c r="G214" s="18">
        <v>815711.40670000005</v>
      </c>
      <c r="H214" s="18">
        <v>42384.513999999996</v>
      </c>
      <c r="I214" s="18">
        <v>75129.489999999991</v>
      </c>
      <c r="J214" s="18">
        <v>26578.47</v>
      </c>
      <c r="K214" s="18">
        <v>0</v>
      </c>
      <c r="L214" s="19">
        <f>SUM(F214:K214)</f>
        <v>2438632.8941000006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652173.28</v>
      </c>
      <c r="G215" s="18">
        <v>460883.12</v>
      </c>
      <c r="H215" s="18">
        <v>305135.32529999997</v>
      </c>
      <c r="I215" s="18">
        <v>5033.29</v>
      </c>
      <c r="J215" s="18">
        <v>1021.48</v>
      </c>
      <c r="K215" s="18">
        <v>0</v>
      </c>
      <c r="L215" s="19">
        <f>SUM(F215:K215)</f>
        <v>1424246.4952999998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17584</v>
      </c>
      <c r="G217" s="18">
        <v>2212.94</v>
      </c>
      <c r="H217" s="18">
        <v>2985</v>
      </c>
      <c r="I217" s="18">
        <v>1269.94</v>
      </c>
      <c r="J217" s="18">
        <v>1847.39</v>
      </c>
      <c r="K217" s="18">
        <v>125</v>
      </c>
      <c r="L217" s="19">
        <f>SUM(F217:K217)</f>
        <v>26024.269999999997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245812.04</v>
      </c>
      <c r="G219" s="18">
        <v>75912.420000000013</v>
      </c>
      <c r="H219" s="18">
        <v>101460.7129</v>
      </c>
      <c r="I219" s="18">
        <v>2790.83</v>
      </c>
      <c r="J219" s="18">
        <v>789.2</v>
      </c>
      <c r="K219" s="18">
        <v>3742.2797</v>
      </c>
      <c r="L219" s="19">
        <f t="shared" ref="L219:L225" si="2">SUM(F219:K219)</f>
        <v>430507.48260000005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42502.98</v>
      </c>
      <c r="G220" s="18">
        <v>8306.27</v>
      </c>
      <c r="H220" s="18">
        <v>12964.5046</v>
      </c>
      <c r="I220" s="18">
        <v>6929.09</v>
      </c>
      <c r="J220" s="18">
        <v>0</v>
      </c>
      <c r="K220" s="18">
        <v>0</v>
      </c>
      <c r="L220" s="19">
        <f t="shared" si="2"/>
        <v>70702.844599999997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290644.27889999998</v>
      </c>
      <c r="I221" s="18">
        <v>1724.9237000000001</v>
      </c>
      <c r="J221" s="18">
        <v>0</v>
      </c>
      <c r="K221" s="18">
        <v>1669.2601</v>
      </c>
      <c r="L221" s="19">
        <f t="shared" si="2"/>
        <v>294038.46269999997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186908.1</v>
      </c>
      <c r="G222" s="18">
        <v>127629.93</v>
      </c>
      <c r="H222" s="18">
        <v>7095.6788999999999</v>
      </c>
      <c r="I222" s="18">
        <v>2162.44</v>
      </c>
      <c r="J222" s="18">
        <v>350.99</v>
      </c>
      <c r="K222" s="18">
        <v>1746.67</v>
      </c>
      <c r="L222" s="19">
        <f t="shared" si="2"/>
        <v>325893.8089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161317.0275</v>
      </c>
      <c r="G224" s="18">
        <v>71764.126899999988</v>
      </c>
      <c r="H224" s="18">
        <v>242079.52159999998</v>
      </c>
      <c r="I224" s="18">
        <v>88718.367599999998</v>
      </c>
      <c r="J224" s="18">
        <v>6895</v>
      </c>
      <c r="K224" s="18">
        <v>0</v>
      </c>
      <c r="L224" s="19">
        <f t="shared" si="2"/>
        <v>570774.04359999998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251158.58259999999</v>
      </c>
      <c r="I225" s="18">
        <v>1115.3025</v>
      </c>
      <c r="J225" s="18">
        <v>0</v>
      </c>
      <c r="K225" s="18">
        <v>0</v>
      </c>
      <c r="L225" s="19">
        <f t="shared" si="2"/>
        <v>252273.88509999998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79911.7163</v>
      </c>
      <c r="I226" s="18">
        <v>0</v>
      </c>
      <c r="J226" s="18">
        <v>0</v>
      </c>
      <c r="K226" s="18">
        <v>0</v>
      </c>
      <c r="L226" s="19">
        <f>SUM(F226:K226)</f>
        <v>79911.7163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2785126.4408999998</v>
      </c>
      <c r="G228" s="41">
        <f>SUM(G214:G227)</f>
        <v>1562420.2135999999</v>
      </c>
      <c r="H228" s="41">
        <f>SUM(H214:H227)</f>
        <v>1335819.8351</v>
      </c>
      <c r="I228" s="41">
        <f>SUM(I214:I227)</f>
        <v>184873.67379999999</v>
      </c>
      <c r="J228" s="41">
        <f>SUM(J214:J227)</f>
        <v>37482.53</v>
      </c>
      <c r="K228" s="41">
        <f t="shared" si="3"/>
        <v>7283.2098000000005</v>
      </c>
      <c r="L228" s="41">
        <f t="shared" si="3"/>
        <v>5913005.9032000015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1179353.1548000001</v>
      </c>
      <c r="G232" s="18">
        <v>758792.54240000015</v>
      </c>
      <c r="H232" s="18">
        <v>30009.508000000002</v>
      </c>
      <c r="I232" s="18">
        <v>62752.299999999996</v>
      </c>
      <c r="J232" s="18">
        <v>4821.6099999999997</v>
      </c>
      <c r="K232" s="18">
        <v>0</v>
      </c>
      <c r="L232" s="19">
        <f>SUM(F232:K232)</f>
        <v>2035729.1152000003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584470.56999999995</v>
      </c>
      <c r="G233" s="18">
        <v>372471.36000000004</v>
      </c>
      <c r="H233" s="18">
        <v>1351202.5016000001</v>
      </c>
      <c r="I233" s="18">
        <v>5776.11</v>
      </c>
      <c r="J233" s="18">
        <v>879.84999999999991</v>
      </c>
      <c r="K233" s="18">
        <v>0</v>
      </c>
      <c r="L233" s="19">
        <f>SUM(F233:K233)</f>
        <v>2314800.3915999997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433412.41</v>
      </c>
      <c r="G234" s="18">
        <v>241569.57</v>
      </c>
      <c r="H234" s="18">
        <v>15455.97</v>
      </c>
      <c r="I234" s="18">
        <v>56263.08</v>
      </c>
      <c r="J234" s="18">
        <v>17999.96</v>
      </c>
      <c r="K234" s="18">
        <v>0</v>
      </c>
      <c r="L234" s="19">
        <f>SUM(F234:K234)</f>
        <v>764700.98999999987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88848.56</v>
      </c>
      <c r="G235" s="18">
        <v>11587.01</v>
      </c>
      <c r="H235" s="18">
        <v>8782</v>
      </c>
      <c r="I235" s="18">
        <v>1290.06</v>
      </c>
      <c r="J235" s="18">
        <v>0</v>
      </c>
      <c r="K235" s="18">
        <v>4881.53</v>
      </c>
      <c r="L235" s="19">
        <f>SUM(F235:K235)</f>
        <v>115389.15999999999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168261.25</v>
      </c>
      <c r="G237" s="18">
        <v>87740.739999999991</v>
      </c>
      <c r="H237" s="18">
        <v>109128.0488</v>
      </c>
      <c r="I237" s="18">
        <v>4762.33</v>
      </c>
      <c r="J237" s="18">
        <v>0</v>
      </c>
      <c r="K237" s="18">
        <v>4082.9984000000004</v>
      </c>
      <c r="L237" s="19">
        <f t="shared" ref="L237:L243" si="4">SUM(F237:K237)</f>
        <v>373975.36719999998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83415.010000000009</v>
      </c>
      <c r="G238" s="18">
        <v>23273.45</v>
      </c>
      <c r="H238" s="18">
        <v>14930.9012</v>
      </c>
      <c r="I238" s="18">
        <v>12336.84</v>
      </c>
      <c r="J238" s="18">
        <v>5763.93</v>
      </c>
      <c r="K238" s="18">
        <v>0</v>
      </c>
      <c r="L238" s="19">
        <f t="shared" si="4"/>
        <v>139720.1312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300019.9008</v>
      </c>
      <c r="I239" s="18">
        <v>1780.5664000000002</v>
      </c>
      <c r="J239" s="18">
        <v>0</v>
      </c>
      <c r="K239" s="18">
        <v>1723.1072000000001</v>
      </c>
      <c r="L239" s="19">
        <f t="shared" si="4"/>
        <v>303523.57440000004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360178.84</v>
      </c>
      <c r="G240" s="18">
        <v>146138.37</v>
      </c>
      <c r="H240" s="18">
        <v>12680.5108</v>
      </c>
      <c r="I240" s="18">
        <v>27680.799999999999</v>
      </c>
      <c r="J240" s="18">
        <v>1667.86</v>
      </c>
      <c r="K240" s="18">
        <v>4430</v>
      </c>
      <c r="L240" s="19">
        <f t="shared" si="4"/>
        <v>552776.38080000004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226151.90000000002</v>
      </c>
      <c r="G242" s="18">
        <v>140296.38680000001</v>
      </c>
      <c r="H242" s="18">
        <v>341442.37520000007</v>
      </c>
      <c r="I242" s="18">
        <v>330198.31719999999</v>
      </c>
      <c r="J242" s="18">
        <v>2543.4</v>
      </c>
      <c r="K242" s="18">
        <v>0</v>
      </c>
      <c r="L242" s="19">
        <f t="shared" si="4"/>
        <v>1040632.3792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363300.04719999997</v>
      </c>
      <c r="I243" s="18">
        <v>1151.28</v>
      </c>
      <c r="J243" s="18">
        <v>0</v>
      </c>
      <c r="K243" s="18">
        <v>0</v>
      </c>
      <c r="L243" s="19">
        <f t="shared" si="4"/>
        <v>364451.3272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82489.513600000006</v>
      </c>
      <c r="I244" s="18">
        <v>0</v>
      </c>
      <c r="J244" s="18">
        <v>0</v>
      </c>
      <c r="K244" s="18">
        <v>0</v>
      </c>
      <c r="L244" s="19">
        <f>SUM(F244:K244)</f>
        <v>82489.513600000006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3124091.6948000002</v>
      </c>
      <c r="G246" s="41">
        <f t="shared" si="5"/>
        <v>1781869.4292000001</v>
      </c>
      <c r="H246" s="41">
        <f t="shared" si="5"/>
        <v>2629441.2771999999</v>
      </c>
      <c r="I246" s="41">
        <f t="shared" si="5"/>
        <v>503991.68359999999</v>
      </c>
      <c r="J246" s="41">
        <f t="shared" si="5"/>
        <v>33676.61</v>
      </c>
      <c r="K246" s="41">
        <f t="shared" si="5"/>
        <v>15117.6356</v>
      </c>
      <c r="L246" s="41">
        <f t="shared" si="5"/>
        <v>8088188.3304000013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9823637.4600000009</v>
      </c>
      <c r="G256" s="41">
        <f t="shared" si="8"/>
        <v>5533589.4100000001</v>
      </c>
      <c r="H256" s="41">
        <f t="shared" si="8"/>
        <v>5425885.3499999996</v>
      </c>
      <c r="I256" s="41">
        <f t="shared" si="8"/>
        <v>1116626.45</v>
      </c>
      <c r="J256" s="41">
        <f t="shared" si="8"/>
        <v>101979.65000000001</v>
      </c>
      <c r="K256" s="41">
        <f t="shared" si="8"/>
        <v>31329.78</v>
      </c>
      <c r="L256" s="41">
        <f t="shared" si="8"/>
        <v>22033048.100000001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1737512</v>
      </c>
      <c r="L259" s="19">
        <f>SUM(F259:K259)</f>
        <v>1737512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254175</v>
      </c>
      <c r="L260" s="19">
        <f>SUM(F260:K260)</f>
        <v>254175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126949</v>
      </c>
      <c r="L262" s="19">
        <f>SUM(F262:K262)</f>
        <v>126949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2118636</v>
      </c>
      <c r="L269" s="41">
        <f t="shared" si="9"/>
        <v>2118636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9823637.4600000009</v>
      </c>
      <c r="G270" s="42">
        <f t="shared" si="11"/>
        <v>5533589.4100000001</v>
      </c>
      <c r="H270" s="42">
        <f t="shared" si="11"/>
        <v>5425885.3499999996</v>
      </c>
      <c r="I270" s="42">
        <f t="shared" si="11"/>
        <v>1116626.45</v>
      </c>
      <c r="J270" s="42">
        <f t="shared" si="11"/>
        <v>101979.65000000001</v>
      </c>
      <c r="K270" s="42">
        <f t="shared" si="11"/>
        <v>2149965.7799999998</v>
      </c>
      <c r="L270" s="42">
        <f t="shared" si="11"/>
        <v>24151684.100000001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132328.55563139933</v>
      </c>
      <c r="G275" s="18">
        <v>199.04436860068259</v>
      </c>
      <c r="H275" s="18">
        <v>-25450.543412969284</v>
      </c>
      <c r="I275" s="18">
        <v>5986.3672696245731</v>
      </c>
      <c r="J275" s="18">
        <v>2048.0103754266206</v>
      </c>
      <c r="K275" s="18">
        <v>0</v>
      </c>
      <c r="L275" s="19">
        <f>SUM(F275:K275)</f>
        <v>115111.43423208191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298312</v>
      </c>
      <c r="G276" s="18">
        <v>155029.59999999998</v>
      </c>
      <c r="H276" s="18">
        <v>46022.3</v>
      </c>
      <c r="I276" s="18">
        <v>17234.61</v>
      </c>
      <c r="J276" s="18">
        <v>4862.71</v>
      </c>
      <c r="K276" s="18">
        <v>0</v>
      </c>
      <c r="L276" s="19">
        <f>SUM(F276:K276)</f>
        <v>521461.22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16762.5</v>
      </c>
      <c r="G278" s="18">
        <v>2933.51</v>
      </c>
      <c r="H278" s="18">
        <v>4725</v>
      </c>
      <c r="I278" s="18">
        <v>4079.2500000000005</v>
      </c>
      <c r="J278" s="18">
        <v>0</v>
      </c>
      <c r="K278" s="18">
        <v>0</v>
      </c>
      <c r="L278" s="19">
        <f>SUM(F278:K278)</f>
        <v>28500.260000000002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921.50170648464166</v>
      </c>
      <c r="G280" s="18">
        <v>0</v>
      </c>
      <c r="H280" s="18">
        <v>3686.0068259385666</v>
      </c>
      <c r="I280" s="18">
        <v>0</v>
      </c>
      <c r="J280" s="18">
        <v>37.309761092150168</v>
      </c>
      <c r="K280" s="18">
        <v>0</v>
      </c>
      <c r="L280" s="19">
        <f t="shared" ref="L280:L286" si="12">SUM(F280:K280)</f>
        <v>4644.8182935153591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163710.06839590441</v>
      </c>
      <c r="I281" s="18">
        <v>1179.2503412969284</v>
      </c>
      <c r="J281" s="18">
        <v>0</v>
      </c>
      <c r="K281" s="18">
        <v>0</v>
      </c>
      <c r="L281" s="19">
        <f t="shared" si="12"/>
        <v>164889.31873720133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50850.74</v>
      </c>
      <c r="G284" s="18">
        <v>4534.92</v>
      </c>
      <c r="H284" s="18">
        <v>1000</v>
      </c>
      <c r="I284" s="18">
        <v>4129.53</v>
      </c>
      <c r="J284" s="18">
        <v>0</v>
      </c>
      <c r="K284" s="18">
        <v>38440.730238907847</v>
      </c>
      <c r="L284" s="19">
        <f t="shared" si="12"/>
        <v>98955.920238907842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499175.29733788397</v>
      </c>
      <c r="G289" s="42">
        <f t="shared" si="13"/>
        <v>162697.07436860068</v>
      </c>
      <c r="H289" s="42">
        <f t="shared" si="13"/>
        <v>193692.83180887369</v>
      </c>
      <c r="I289" s="42">
        <f t="shared" si="13"/>
        <v>32609.007610921501</v>
      </c>
      <c r="J289" s="42">
        <f t="shared" si="13"/>
        <v>6948.0301365187715</v>
      </c>
      <c r="K289" s="42">
        <f t="shared" si="13"/>
        <v>38440.730238907847</v>
      </c>
      <c r="L289" s="41">
        <f t="shared" si="13"/>
        <v>933562.97150170628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89185.807690557456</v>
      </c>
      <c r="G294" s="18">
        <v>167.09897610921502</v>
      </c>
      <c r="H294" s="18">
        <v>4028.7872582480095</v>
      </c>
      <c r="I294" s="18">
        <v>350.70980659840734</v>
      </c>
      <c r="J294" s="18">
        <v>1644.4334015927188</v>
      </c>
      <c r="K294" s="18">
        <v>0</v>
      </c>
      <c r="L294" s="19">
        <f>SUM(F294:K294)</f>
        <v>95376.837133105801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11187.5</v>
      </c>
      <c r="G295" s="18">
        <v>675</v>
      </c>
      <c r="H295" s="18">
        <v>0</v>
      </c>
      <c r="I295" s="18">
        <v>9571.34</v>
      </c>
      <c r="J295" s="18">
        <v>0</v>
      </c>
      <c r="K295" s="18">
        <v>0</v>
      </c>
      <c r="L295" s="19">
        <f>SUM(F295:K295)</f>
        <v>21433.84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71570</v>
      </c>
      <c r="G297" s="18">
        <v>15953.34</v>
      </c>
      <c r="H297" s="18">
        <v>0</v>
      </c>
      <c r="I297" s="18">
        <v>115840.43</v>
      </c>
      <c r="J297" s="18">
        <v>0</v>
      </c>
      <c r="K297" s="18">
        <v>0</v>
      </c>
      <c r="L297" s="19">
        <f>SUM(F297:K297)</f>
        <v>203363.77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773.60637087599548</v>
      </c>
      <c r="G299" s="18">
        <v>0</v>
      </c>
      <c r="H299" s="18">
        <v>3094.4254835039819</v>
      </c>
      <c r="I299" s="18">
        <v>0</v>
      </c>
      <c r="J299" s="18">
        <v>31.321774744027305</v>
      </c>
      <c r="K299" s="18">
        <v>0</v>
      </c>
      <c r="L299" s="19">
        <f t="shared" ref="L299:L305" si="14">SUM(F299:K299)</f>
        <v>3899.3536291240048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28144.440011376566</v>
      </c>
      <c r="I300" s="18">
        <v>154.72127417519908</v>
      </c>
      <c r="J300" s="18">
        <v>0</v>
      </c>
      <c r="K300" s="18">
        <v>0</v>
      </c>
      <c r="L300" s="19">
        <f t="shared" si="14"/>
        <v>28299.161285551763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5659.7948919226401</v>
      </c>
      <c r="L303" s="19">
        <f t="shared" si="14"/>
        <v>5659.7948919226401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2000</v>
      </c>
      <c r="I305" s="18">
        <v>0</v>
      </c>
      <c r="J305" s="18">
        <v>0</v>
      </c>
      <c r="K305" s="18">
        <v>0</v>
      </c>
      <c r="L305" s="19">
        <f t="shared" si="14"/>
        <v>2000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172716.91406143343</v>
      </c>
      <c r="G308" s="42">
        <f t="shared" si="15"/>
        <v>16795.438976109217</v>
      </c>
      <c r="H308" s="42">
        <f t="shared" si="15"/>
        <v>37267.652753128554</v>
      </c>
      <c r="I308" s="42">
        <f t="shared" si="15"/>
        <v>125917.20108077359</v>
      </c>
      <c r="J308" s="42">
        <f t="shared" si="15"/>
        <v>1675.7551763367462</v>
      </c>
      <c r="K308" s="42">
        <f t="shared" si="15"/>
        <v>5659.7948919226401</v>
      </c>
      <c r="L308" s="41">
        <f t="shared" si="15"/>
        <v>360032.75693970418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115680.17667804322</v>
      </c>
      <c r="G313" s="18">
        <v>173.8566552901024</v>
      </c>
      <c r="H313" s="18">
        <v>4191.7161547212745</v>
      </c>
      <c r="I313" s="18">
        <v>364.8929237770194</v>
      </c>
      <c r="J313" s="18">
        <v>1710.9362229806595</v>
      </c>
      <c r="K313" s="18">
        <v>0</v>
      </c>
      <c r="L313" s="19">
        <f>SUM(F313:K313)</f>
        <v>122121.57863481228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18034.91</v>
      </c>
      <c r="G315" s="18">
        <v>4848.84</v>
      </c>
      <c r="H315" s="18">
        <v>72926.53</v>
      </c>
      <c r="I315" s="18">
        <v>14362.470000000001</v>
      </c>
      <c r="J315" s="18">
        <v>31679.18</v>
      </c>
      <c r="K315" s="18">
        <v>1000</v>
      </c>
      <c r="L315" s="19">
        <f>SUM(F315:K315)</f>
        <v>142851.93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804.89192263936286</v>
      </c>
      <c r="G318" s="18">
        <v>0</v>
      </c>
      <c r="H318" s="18">
        <v>4219.567690557451</v>
      </c>
      <c r="I318" s="18">
        <v>0</v>
      </c>
      <c r="J318" s="18">
        <v>32.588464163822522</v>
      </c>
      <c r="K318" s="18">
        <v>0</v>
      </c>
      <c r="L318" s="19">
        <f t="shared" ref="L318:L324" si="16">SUM(F318:K318)</f>
        <v>5057.0480773606359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26726.401592718998</v>
      </c>
      <c r="I319" s="18">
        <v>160.97838452787258</v>
      </c>
      <c r="J319" s="18">
        <v>0</v>
      </c>
      <c r="K319" s="18">
        <v>70</v>
      </c>
      <c r="L319" s="19">
        <f t="shared" si="16"/>
        <v>26957.37997724687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8476.3948691695114</v>
      </c>
      <c r="L322" s="19">
        <f t="shared" si="16"/>
        <v>8476.3948691695114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134519.97860068257</v>
      </c>
      <c r="G327" s="42">
        <f t="shared" si="17"/>
        <v>5022.6966552901022</v>
      </c>
      <c r="H327" s="42">
        <f t="shared" si="17"/>
        <v>108064.21543799771</v>
      </c>
      <c r="I327" s="42">
        <f t="shared" si="17"/>
        <v>14888.341308304893</v>
      </c>
      <c r="J327" s="42">
        <f t="shared" si="17"/>
        <v>33422.704687144484</v>
      </c>
      <c r="K327" s="42">
        <f t="shared" si="17"/>
        <v>9546.3948691695114</v>
      </c>
      <c r="L327" s="41">
        <f t="shared" si="17"/>
        <v>305464.33155858924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806412.19</v>
      </c>
      <c r="G337" s="41">
        <f t="shared" si="20"/>
        <v>184515.21</v>
      </c>
      <c r="H337" s="41">
        <f t="shared" si="20"/>
        <v>339024.69999999995</v>
      </c>
      <c r="I337" s="41">
        <f t="shared" si="20"/>
        <v>173414.55</v>
      </c>
      <c r="J337" s="41">
        <f t="shared" si="20"/>
        <v>42046.490000000005</v>
      </c>
      <c r="K337" s="41">
        <f t="shared" si="20"/>
        <v>53646.92</v>
      </c>
      <c r="L337" s="41">
        <f t="shared" si="20"/>
        <v>1599060.0599999996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806412.19</v>
      </c>
      <c r="G351" s="41">
        <f>G337</f>
        <v>184515.21</v>
      </c>
      <c r="H351" s="41">
        <f>H337</f>
        <v>339024.69999999995</v>
      </c>
      <c r="I351" s="41">
        <f>I337</f>
        <v>173414.55</v>
      </c>
      <c r="J351" s="41">
        <f>J337</f>
        <v>42046.490000000005</v>
      </c>
      <c r="K351" s="47">
        <f>K337+K350</f>
        <v>53646.92</v>
      </c>
      <c r="L351" s="41">
        <f>L337+L350</f>
        <v>1599060.0599999996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408.39490000000001</v>
      </c>
      <c r="G357" s="18">
        <v>67.210499999999996</v>
      </c>
      <c r="H357" s="18">
        <v>230617.48499999999</v>
      </c>
      <c r="I357" s="18">
        <v>99.204400000000007</v>
      </c>
      <c r="J357" s="18">
        <v>0</v>
      </c>
      <c r="K357" s="18">
        <v>25.419</v>
      </c>
      <c r="L357" s="13">
        <f>SUM(F357:K357)</f>
        <v>231217.71379999997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342.1687</v>
      </c>
      <c r="G358" s="18">
        <v>56.311500000000002</v>
      </c>
      <c r="H358" s="18">
        <v>193220.05499999999</v>
      </c>
      <c r="I358" s="18">
        <v>83.117199999999997</v>
      </c>
      <c r="J358" s="18">
        <v>0</v>
      </c>
      <c r="K358" s="18">
        <v>21.297000000000001</v>
      </c>
      <c r="L358" s="19">
        <f>SUM(F358:K358)</f>
        <v>193722.94939999998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353.20639999999997</v>
      </c>
      <c r="G359" s="18">
        <v>58.128</v>
      </c>
      <c r="H359" s="18">
        <v>199452.96</v>
      </c>
      <c r="I359" s="18">
        <v>85.798400000000001</v>
      </c>
      <c r="J359" s="18">
        <v>0</v>
      </c>
      <c r="K359" s="18">
        <v>21.984000000000002</v>
      </c>
      <c r="L359" s="19">
        <f>SUM(F359:K359)</f>
        <v>199972.07679999998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1103.77</v>
      </c>
      <c r="G361" s="47">
        <f t="shared" si="22"/>
        <v>181.64999999999998</v>
      </c>
      <c r="H361" s="47">
        <f t="shared" si="22"/>
        <v>623290.5</v>
      </c>
      <c r="I361" s="47">
        <f t="shared" si="22"/>
        <v>268.12</v>
      </c>
      <c r="J361" s="47">
        <f t="shared" si="22"/>
        <v>0</v>
      </c>
      <c r="K361" s="47">
        <f t="shared" si="22"/>
        <v>68.7</v>
      </c>
      <c r="L361" s="47">
        <f t="shared" si="22"/>
        <v>624912.74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</f>
        <v>99.204400000000007</v>
      </c>
      <c r="G367" s="63">
        <f>I358</f>
        <v>83.117199999999997</v>
      </c>
      <c r="H367" s="63">
        <f>I359</f>
        <v>85.798400000000001</v>
      </c>
      <c r="I367" s="56">
        <f>SUM(F367:H367)</f>
        <v>268.12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99.204400000000007</v>
      </c>
      <c r="G368" s="47">
        <f>SUM(G366:G367)</f>
        <v>83.117199999999997</v>
      </c>
      <c r="H368" s="47">
        <f>SUM(H366:H367)</f>
        <v>85.798400000000001</v>
      </c>
      <c r="I368" s="47">
        <f>SUM(I366:I367)</f>
        <v>268.12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f>19800</f>
        <v>19800</v>
      </c>
      <c r="G379" s="18">
        <f>1514.7+1923.78</f>
        <v>3438.48</v>
      </c>
      <c r="H379" s="18">
        <f>628.5+2406.66+1080+399.41+76804.75+68977.94+1420176.65+397741.67+160+4500+1362.68</f>
        <v>1974238.2599999998</v>
      </c>
      <c r="I379" s="18">
        <f>19028.45</f>
        <v>19028.45</v>
      </c>
      <c r="J379" s="18">
        <f>9420+37902+14047.5+502656.35</f>
        <v>564025.85</v>
      </c>
      <c r="K379" s="18">
        <v>0</v>
      </c>
      <c r="L379" s="13">
        <f t="shared" si="23"/>
        <v>2580531.0399999996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19800</v>
      </c>
      <c r="G381" s="139">
        <f t="shared" ref="G381:L381" si="24">SUM(G373:G380)</f>
        <v>3438.48</v>
      </c>
      <c r="H381" s="139">
        <f t="shared" si="24"/>
        <v>1974238.2599999998</v>
      </c>
      <c r="I381" s="41">
        <f t="shared" si="24"/>
        <v>19028.45</v>
      </c>
      <c r="J381" s="47">
        <f t="shared" si="24"/>
        <v>564025.85</v>
      </c>
      <c r="K381" s="47">
        <f t="shared" si="24"/>
        <v>0</v>
      </c>
      <c r="L381" s="47">
        <f t="shared" si="24"/>
        <v>2580531.0399999996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f>J192</f>
        <v>187821.37</v>
      </c>
      <c r="J399" s="24" t="s">
        <v>289</v>
      </c>
      <c r="K399" s="24" t="s">
        <v>289</v>
      </c>
      <c r="L399" s="56">
        <f t="shared" si="26"/>
        <v>187821.37</v>
      </c>
      <c r="M399" s="8"/>
    </row>
    <row r="400" spans="1:13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187821.37</v>
      </c>
      <c r="J400" s="45" t="s">
        <v>289</v>
      </c>
      <c r="K400" s="45" t="s">
        <v>289</v>
      </c>
      <c r="L400" s="47">
        <f>SUM(L394:L399)</f>
        <v>187821.37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187821.37</v>
      </c>
      <c r="J407" s="24" t="s">
        <v>289</v>
      </c>
      <c r="K407" s="24" t="s">
        <v>289</v>
      </c>
      <c r="L407" s="47">
        <f>L392+L400+L406</f>
        <v>187821.37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f>42426.25</f>
        <v>42426.25</v>
      </c>
      <c r="G425" s="18">
        <f>16987.81</f>
        <v>16987.810000000001</v>
      </c>
      <c r="H425" s="18">
        <f>11670+23679+637.5</f>
        <v>35986.5</v>
      </c>
      <c r="I425" s="18">
        <f>2132.03+967.46</f>
        <v>3099.4900000000002</v>
      </c>
      <c r="J425" s="18">
        <f>17008.8+1434.92</f>
        <v>18443.72</v>
      </c>
      <c r="K425" s="18">
        <f>540</f>
        <v>540</v>
      </c>
      <c r="L425" s="56">
        <f t="shared" si="29"/>
        <v>117483.77</v>
      </c>
      <c r="M425" s="8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42426.25</v>
      </c>
      <c r="G426" s="47">
        <f t="shared" si="30"/>
        <v>16987.810000000001</v>
      </c>
      <c r="H426" s="47">
        <f t="shared" si="30"/>
        <v>35986.5</v>
      </c>
      <c r="I426" s="47">
        <f t="shared" si="30"/>
        <v>3099.4900000000002</v>
      </c>
      <c r="J426" s="47">
        <f t="shared" si="30"/>
        <v>18443.72</v>
      </c>
      <c r="K426" s="47">
        <f t="shared" si="30"/>
        <v>540</v>
      </c>
      <c r="L426" s="47">
        <f t="shared" si="30"/>
        <v>117483.77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42426.25</v>
      </c>
      <c r="G433" s="47">
        <f t="shared" si="32"/>
        <v>16987.810000000001</v>
      </c>
      <c r="H433" s="47">
        <f t="shared" si="32"/>
        <v>35986.5</v>
      </c>
      <c r="I433" s="47">
        <f t="shared" si="32"/>
        <v>3099.4900000000002</v>
      </c>
      <c r="J433" s="47">
        <f t="shared" si="32"/>
        <v>18443.72</v>
      </c>
      <c r="K433" s="47">
        <f t="shared" si="32"/>
        <v>540</v>
      </c>
      <c r="L433" s="47">
        <f t="shared" si="32"/>
        <v>117483.77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120686.34</v>
      </c>
      <c r="I441" s="56">
        <f t="shared" si="33"/>
        <v>120686.34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120686.34</v>
      </c>
      <c r="I445" s="13">
        <f>SUM(I438:I444)</f>
        <v>120686.34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0</v>
      </c>
      <c r="H458" s="18">
        <f>H445-H451</f>
        <v>120686.34</v>
      </c>
      <c r="I458" s="56">
        <f t="shared" si="34"/>
        <v>120686.34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120686.34</v>
      </c>
      <c r="I459" s="83">
        <f>SUM(I453:I458)</f>
        <v>120686.34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120686.34</v>
      </c>
      <c r="I460" s="42">
        <f>I451+I459</f>
        <v>120686.34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8" t="s">
        <v>855</v>
      </c>
      <c r="B464" s="105">
        <v>19</v>
      </c>
      <c r="C464" s="111">
        <v>1</v>
      </c>
      <c r="D464" s="2" t="s">
        <v>433</v>
      </c>
      <c r="E464" s="111"/>
      <c r="F464" s="18"/>
      <c r="G464" s="18">
        <v>-118226.88</v>
      </c>
      <c r="H464" s="18">
        <v>140327.88</v>
      </c>
      <c r="I464" s="18">
        <v>3043954.41</v>
      </c>
      <c r="J464" s="18">
        <v>50348.74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24151684.100000001</v>
      </c>
      <c r="G467" s="18">
        <f t="shared" ref="G467:J467" si="35">G192</f>
        <v>746476.3600000001</v>
      </c>
      <c r="H467" s="18">
        <f t="shared" si="35"/>
        <v>1505211.09</v>
      </c>
      <c r="I467" s="18">
        <f t="shared" si="35"/>
        <v>3967.95</v>
      </c>
      <c r="J467" s="18">
        <f t="shared" si="35"/>
        <v>187821.37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24151684.100000001</v>
      </c>
      <c r="G469" s="53">
        <f>SUM(G467:G468)</f>
        <v>746476.3600000001</v>
      </c>
      <c r="H469" s="53">
        <f>SUM(H467:H468)</f>
        <v>1505211.09</v>
      </c>
      <c r="I469" s="53">
        <f>SUM(I467:I468)</f>
        <v>3967.95</v>
      </c>
      <c r="J469" s="53">
        <f>SUM(J467:J468)</f>
        <v>187821.37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24151684.100000001</v>
      </c>
      <c r="G471" s="18">
        <f>L361</f>
        <v>624912.74</v>
      </c>
      <c r="H471" s="18">
        <f>L351</f>
        <v>1599060.0599999996</v>
      </c>
      <c r="I471" s="18">
        <f>L381</f>
        <v>2580531.0399999996</v>
      </c>
      <c r="J471" s="18">
        <f>L433</f>
        <v>117483.77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24151684.100000001</v>
      </c>
      <c r="G473" s="53">
        <f>SUM(G471:G472)</f>
        <v>624912.74</v>
      </c>
      <c r="H473" s="53">
        <f>SUM(H471:H472)</f>
        <v>1599060.0599999996</v>
      </c>
      <c r="I473" s="53">
        <f>SUM(I471:I472)</f>
        <v>2580531.0399999996</v>
      </c>
      <c r="J473" s="53">
        <f>SUM(J471:J472)</f>
        <v>117483.77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9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3336.7400000001071</v>
      </c>
      <c r="H475" s="53">
        <f>(H464+H469)- H473</f>
        <v>46478.910000000615</v>
      </c>
      <c r="I475" s="53">
        <f>(I464+I469)- I473</f>
        <v>467391.32000000076</v>
      </c>
      <c r="J475" s="53">
        <f>(J464+J469)- J473</f>
        <v>120686.33999999998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3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0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1</v>
      </c>
      <c r="G489" s="153">
        <v>2</v>
      </c>
      <c r="H489" s="153">
        <v>3</v>
      </c>
      <c r="I489" s="153">
        <v>4</v>
      </c>
      <c r="J489" s="153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 t="s">
        <v>909</v>
      </c>
      <c r="G490" s="154" t="s">
        <v>909</v>
      </c>
      <c r="H490" s="154" t="s">
        <v>910</v>
      </c>
      <c r="I490" s="154" t="s">
        <v>911</v>
      </c>
      <c r="J490" s="154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 t="s">
        <v>909</v>
      </c>
      <c r="G491" s="154" t="s">
        <v>909</v>
      </c>
      <c r="H491" s="154" t="s">
        <v>912</v>
      </c>
      <c r="I491" s="154" t="s">
        <v>913</v>
      </c>
      <c r="J491" s="154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5300000</v>
      </c>
      <c r="G492" s="18">
        <v>310000</v>
      </c>
      <c r="H492" s="18">
        <v>1338545</v>
      </c>
      <c r="I492" s="18">
        <v>18953000</v>
      </c>
      <c r="J492" s="18">
        <v>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5.63</v>
      </c>
      <c r="G493" s="18">
        <v>5.2</v>
      </c>
      <c r="H493" s="18">
        <v>3.68</v>
      </c>
      <c r="I493" s="18">
        <v>3.73</v>
      </c>
      <c r="J493" s="18">
        <v>0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1590000</v>
      </c>
      <c r="G494" s="18">
        <v>135000</v>
      </c>
      <c r="H494" s="18">
        <v>1070000</v>
      </c>
      <c r="I494" s="18">
        <f>18953000-1378285</f>
        <v>17574715</v>
      </c>
      <c r="J494" s="18">
        <v>0</v>
      </c>
      <c r="K494" s="53">
        <f>SUM(F494:J494)</f>
        <v>20369715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6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265000</v>
      </c>
      <c r="G496" s="18">
        <v>15000</v>
      </c>
      <c r="H496" s="18">
        <v>135000</v>
      </c>
      <c r="I496" s="18">
        <v>1322512</v>
      </c>
      <c r="J496" s="18">
        <v>0</v>
      </c>
      <c r="K496" s="53">
        <f t="shared" si="36"/>
        <v>1737512</v>
      </c>
      <c r="L496" s="24" t="s">
        <v>289</v>
      </c>
    </row>
    <row r="497" spans="1:12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1325000</v>
      </c>
      <c r="G497" s="204">
        <f>G494-G496</f>
        <v>120000</v>
      </c>
      <c r="H497" s="204">
        <f>H494-H496</f>
        <v>935000</v>
      </c>
      <c r="I497" s="204">
        <f>I494-I496</f>
        <v>16252203</v>
      </c>
      <c r="J497" s="204">
        <f>J492</f>
        <v>0</v>
      </c>
      <c r="K497" s="205">
        <f t="shared" si="36"/>
        <v>18632203</v>
      </c>
      <c r="L497" s="206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6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1325000</v>
      </c>
      <c r="G499" s="42">
        <f>SUM(G497:G498)</f>
        <v>120000</v>
      </c>
      <c r="H499" s="42">
        <f>SUM(H497:H498)</f>
        <v>935000</v>
      </c>
      <c r="I499" s="42">
        <f>SUM(I497:I498)</f>
        <v>16252203</v>
      </c>
      <c r="J499" s="42">
        <f>SUM(J497:J498)</f>
        <v>0</v>
      </c>
      <c r="K499" s="42">
        <f t="shared" si="36"/>
        <v>18632203</v>
      </c>
      <c r="L499" s="45" t="s">
        <v>289</v>
      </c>
    </row>
    <row r="500" spans="1:12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265000</v>
      </c>
      <c r="G500" s="204">
        <v>15000</v>
      </c>
      <c r="H500" s="204">
        <v>135000</v>
      </c>
      <c r="I500" s="204">
        <v>1268130</v>
      </c>
      <c r="J500" s="204">
        <v>0</v>
      </c>
      <c r="K500" s="205">
        <f t="shared" si="36"/>
        <v>1683130</v>
      </c>
      <c r="L500" s="206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68569</v>
      </c>
      <c r="G501" s="18">
        <v>5906</v>
      </c>
      <c r="H501" s="18">
        <v>45375</v>
      </c>
      <c r="I501" s="18">
        <v>165533</v>
      </c>
      <c r="J501" s="18">
        <v>0</v>
      </c>
      <c r="K501" s="53">
        <f t="shared" si="36"/>
        <v>285383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333569</v>
      </c>
      <c r="G502" s="42">
        <f>SUM(G500:G501)</f>
        <v>20906</v>
      </c>
      <c r="H502" s="42">
        <f>SUM(H500:H501)</f>
        <v>180375</v>
      </c>
      <c r="I502" s="42">
        <f>SUM(I500:I501)</f>
        <v>1433663</v>
      </c>
      <c r="J502" s="42">
        <f>SUM(J500:J501)</f>
        <v>0</v>
      </c>
      <c r="K502" s="42">
        <f t="shared" si="36"/>
        <v>1968513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6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</row>
    <row r="518" spans="1:13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1199424.0583752096</v>
      </c>
      <c r="G520" s="18">
        <v>781676.04854829714</v>
      </c>
      <c r="H520" s="18">
        <v>240381.16648241202</v>
      </c>
      <c r="I520" s="18">
        <v>30730.449999999997</v>
      </c>
      <c r="J520" s="18">
        <v>4920.6099999999997</v>
      </c>
      <c r="K520" s="18">
        <v>0</v>
      </c>
      <c r="L520" s="88">
        <f>SUM(F520:K520)</f>
        <v>2257132.3334059189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660961.23968174204</v>
      </c>
      <c r="G521" s="18">
        <v>460398.07992183138</v>
      </c>
      <c r="H521" s="18">
        <v>296812.15673366835</v>
      </c>
      <c r="I521" s="18">
        <v>14604.630000000001</v>
      </c>
      <c r="J521" s="18">
        <v>0</v>
      </c>
      <c r="K521" s="18">
        <v>0</v>
      </c>
      <c r="L521" s="88">
        <f>SUM(F521:K521)</f>
        <v>1432776.1063372418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584536.97194304853</v>
      </c>
      <c r="G522" s="18">
        <v>372503.46152987162</v>
      </c>
      <c r="H522" s="18">
        <v>1351432.8267839197</v>
      </c>
      <c r="I522" s="18">
        <v>5776.11</v>
      </c>
      <c r="J522" s="18">
        <v>1901.33</v>
      </c>
      <c r="K522" s="18">
        <v>0</v>
      </c>
      <c r="L522" s="88">
        <f>SUM(F522:K522)</f>
        <v>2316150.7002568399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2444922.2700000005</v>
      </c>
      <c r="G523" s="108">
        <f t="shared" ref="G523:L523" si="37">SUM(G520:G522)</f>
        <v>1614577.59</v>
      </c>
      <c r="H523" s="108">
        <f t="shared" si="37"/>
        <v>1888626.1500000001</v>
      </c>
      <c r="I523" s="108">
        <f t="shared" si="37"/>
        <v>51111.19</v>
      </c>
      <c r="J523" s="108">
        <f t="shared" si="37"/>
        <v>6821.94</v>
      </c>
      <c r="K523" s="108">
        <f t="shared" si="37"/>
        <v>0</v>
      </c>
      <c r="L523" s="89">
        <f t="shared" si="37"/>
        <v>6006059.1400000006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132810.62170648464</v>
      </c>
      <c r="G525" s="18">
        <v>72275.360000000001</v>
      </c>
      <c r="H525" s="18">
        <v>151707.62051103066</v>
      </c>
      <c r="I525" s="18">
        <v>1886.4</v>
      </c>
      <c r="J525" s="18">
        <v>37.309761092150168</v>
      </c>
      <c r="K525" s="18">
        <v>5385.4964433277501</v>
      </c>
      <c r="L525" s="88">
        <f>SUM(F525:K525)</f>
        <v>364102.80842193519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81894.766370875994</v>
      </c>
      <c r="G526" s="18">
        <v>14438.7</v>
      </c>
      <c r="H526" s="18">
        <v>61231.824143470476</v>
      </c>
      <c r="I526" s="18">
        <v>424.22</v>
      </c>
      <c r="J526" s="18">
        <v>31.321774744027305</v>
      </c>
      <c r="K526" s="18">
        <v>2797.2228084868789</v>
      </c>
      <c r="L526" s="88">
        <f>SUM(F526:K526)</f>
        <v>160818.05509757737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804.89192263936286</v>
      </c>
      <c r="G527" s="18">
        <v>0</v>
      </c>
      <c r="H527" s="18">
        <v>85051.565345498835</v>
      </c>
      <c r="I527" s="18">
        <v>0</v>
      </c>
      <c r="J527" s="18">
        <v>32.588464163822522</v>
      </c>
      <c r="K527" s="18">
        <v>3889.1507481853719</v>
      </c>
      <c r="L527" s="88">
        <f>SUM(F527:K527)</f>
        <v>89778.196480487401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215510.28</v>
      </c>
      <c r="G528" s="89">
        <f t="shared" ref="G528:L528" si="38">SUM(G525:G527)</f>
        <v>86714.06</v>
      </c>
      <c r="H528" s="89">
        <f t="shared" si="38"/>
        <v>297991.00999999995</v>
      </c>
      <c r="I528" s="89">
        <f t="shared" si="38"/>
        <v>2310.62</v>
      </c>
      <c r="J528" s="89">
        <f t="shared" si="38"/>
        <v>101.22</v>
      </c>
      <c r="K528" s="89">
        <f t="shared" si="38"/>
        <v>12071.87</v>
      </c>
      <c r="L528" s="89">
        <f t="shared" si="38"/>
        <v>614699.05999999994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56307.187831825584</v>
      </c>
      <c r="G530" s="18">
        <v>27961.39901967824</v>
      </c>
      <c r="H530" s="18">
        <v>0</v>
      </c>
      <c r="I530" s="18">
        <v>277.44200000000001</v>
      </c>
      <c r="J530" s="18">
        <v>0</v>
      </c>
      <c r="K530" s="18">
        <v>0</v>
      </c>
      <c r="L530" s="88">
        <f>SUM(F530:K530)</f>
        <v>84546.028851503812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29822.111545941949</v>
      </c>
      <c r="G531" s="18">
        <v>13292.772559657658</v>
      </c>
      <c r="H531" s="18">
        <v>0</v>
      </c>
      <c r="I531" s="18">
        <v>151.61300000000003</v>
      </c>
      <c r="J531" s="18">
        <v>0</v>
      </c>
      <c r="K531" s="18">
        <v>0</v>
      </c>
      <c r="L531" s="88">
        <f>SUM(F531:K531)</f>
        <v>43266.497105599607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38235.835775924104</v>
      </c>
      <c r="G532" s="18">
        <v>19678.179628728842</v>
      </c>
      <c r="H532" s="18">
        <v>0</v>
      </c>
      <c r="I532" s="18">
        <v>190.126</v>
      </c>
      <c r="J532" s="18">
        <v>0</v>
      </c>
      <c r="K532" s="18">
        <v>0</v>
      </c>
      <c r="L532" s="88">
        <f>SUM(F532:K532)</f>
        <v>58104.141404652946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124365.13515369163</v>
      </c>
      <c r="G533" s="89">
        <f t="shared" ref="G533:L533" si="39">SUM(G530:G532)</f>
        <v>60932.351208064734</v>
      </c>
      <c r="H533" s="89">
        <f t="shared" si="39"/>
        <v>0</v>
      </c>
      <c r="I533" s="89">
        <f t="shared" si="39"/>
        <v>619.18100000000004</v>
      </c>
      <c r="J533" s="89">
        <f t="shared" si="39"/>
        <v>0</v>
      </c>
      <c r="K533" s="89">
        <f t="shared" si="39"/>
        <v>0</v>
      </c>
      <c r="L533" s="89">
        <f t="shared" si="39"/>
        <v>185916.66736175635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706.80940815187046</v>
      </c>
      <c r="I535" s="18">
        <v>0</v>
      </c>
      <c r="J535" s="18">
        <v>0</v>
      </c>
      <c r="K535" s="18">
        <v>0</v>
      </c>
      <c r="L535" s="88">
        <f>SUM(F535:K535)</f>
        <v>706.80940815187046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367.11627582356221</v>
      </c>
      <c r="I536" s="18">
        <v>0</v>
      </c>
      <c r="J536" s="18">
        <v>0</v>
      </c>
      <c r="K536" s="18">
        <v>0</v>
      </c>
      <c r="L536" s="88">
        <f>SUM(F536:K536)</f>
        <v>367.11627582356221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510.4243160245673</v>
      </c>
      <c r="I537" s="18">
        <v>0</v>
      </c>
      <c r="J537" s="18">
        <v>0</v>
      </c>
      <c r="K537" s="18">
        <v>0</v>
      </c>
      <c r="L537" s="88">
        <f>SUM(F537:K537)</f>
        <v>510.4243160245673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1584.35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1584.35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235131.30818537134</v>
      </c>
      <c r="I540" s="18">
        <v>0</v>
      </c>
      <c r="J540" s="18">
        <v>0</v>
      </c>
      <c r="K540" s="18">
        <v>0</v>
      </c>
      <c r="L540" s="88">
        <f>SUM(F540:K540)</f>
        <v>235131.30818537134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122127.02490228922</v>
      </c>
      <c r="I541" s="18">
        <v>0</v>
      </c>
      <c r="J541" s="18">
        <v>0</v>
      </c>
      <c r="K541" s="18">
        <v>0</v>
      </c>
      <c r="L541" s="88">
        <f>SUM(F541:K541)</f>
        <v>122127.02490228922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169800.70691233949</v>
      </c>
      <c r="I542" s="18">
        <v>0</v>
      </c>
      <c r="J542" s="18">
        <v>0</v>
      </c>
      <c r="K542" s="18">
        <v>0</v>
      </c>
      <c r="L542" s="88">
        <f>SUM(F542:K542)</f>
        <v>169800.70691233949</v>
      </c>
      <c r="M542" s="8"/>
    </row>
    <row r="543" spans="1:13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527059.04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527059.04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2784797.685153692</v>
      </c>
      <c r="G544" s="89">
        <f t="shared" ref="G544:L544" si="42">G523+G528+G533+G538+G543</f>
        <v>1762224.0012080648</v>
      </c>
      <c r="H544" s="89">
        <f t="shared" si="42"/>
        <v>2715260.5500000003</v>
      </c>
      <c r="I544" s="89">
        <f t="shared" si="42"/>
        <v>54040.991000000002</v>
      </c>
      <c r="J544" s="89">
        <f t="shared" si="42"/>
        <v>6923.16</v>
      </c>
      <c r="K544" s="89">
        <f t="shared" si="42"/>
        <v>12071.87</v>
      </c>
      <c r="L544" s="89">
        <f t="shared" si="42"/>
        <v>7335318.2573617566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2257132.3334059189</v>
      </c>
      <c r="G548" s="87">
        <f>L525</f>
        <v>364102.80842193519</v>
      </c>
      <c r="H548" s="87">
        <f>L530</f>
        <v>84546.028851503812</v>
      </c>
      <c r="I548" s="87">
        <f>L535</f>
        <v>706.80940815187046</v>
      </c>
      <c r="J548" s="87">
        <f>L540</f>
        <v>235131.30818537134</v>
      </c>
      <c r="K548" s="87">
        <f>SUM(F548:J548)</f>
        <v>2941619.2882728819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1432776.1063372418</v>
      </c>
      <c r="G549" s="87">
        <f>L526</f>
        <v>160818.05509757737</v>
      </c>
      <c r="H549" s="87">
        <f>L531</f>
        <v>43266.497105599607</v>
      </c>
      <c r="I549" s="87">
        <f>L536</f>
        <v>367.11627582356221</v>
      </c>
      <c r="J549" s="87">
        <f>L541</f>
        <v>122127.02490228922</v>
      </c>
      <c r="K549" s="87">
        <f>SUM(F549:J549)</f>
        <v>1759354.7997185318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2316150.7002568399</v>
      </c>
      <c r="G550" s="87">
        <f>L527</f>
        <v>89778.196480487401</v>
      </c>
      <c r="H550" s="87">
        <f>L532</f>
        <v>58104.141404652946</v>
      </c>
      <c r="I550" s="87">
        <f>L537</f>
        <v>510.4243160245673</v>
      </c>
      <c r="J550" s="87">
        <f>L542</f>
        <v>169800.70691233949</v>
      </c>
      <c r="K550" s="87">
        <f>SUM(F550:J550)</f>
        <v>2634344.1693703444</v>
      </c>
      <c r="L550" s="24" t="s">
        <v>289</v>
      </c>
      <c r="M550" s="8"/>
    </row>
    <row r="551" spans="1:13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6006059.1400000006</v>
      </c>
      <c r="G551" s="89">
        <f t="shared" si="43"/>
        <v>614699.05999999994</v>
      </c>
      <c r="H551" s="89">
        <f t="shared" si="43"/>
        <v>185916.66736175635</v>
      </c>
      <c r="I551" s="89">
        <f t="shared" si="43"/>
        <v>1584.35</v>
      </c>
      <c r="J551" s="89">
        <f t="shared" si="43"/>
        <v>527059.04</v>
      </c>
      <c r="K551" s="89">
        <f t="shared" si="43"/>
        <v>7335318.2573617585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1166332.0383752096</v>
      </c>
      <c r="G556" s="18">
        <v>755495.52854829712</v>
      </c>
      <c r="H556" s="18">
        <v>233963.18648241204</v>
      </c>
      <c r="I556" s="18">
        <v>26929.08</v>
      </c>
      <c r="J556" s="18">
        <v>4920.6099999999997</v>
      </c>
      <c r="K556" s="18">
        <v>0</v>
      </c>
      <c r="L556" s="88">
        <f>SUM(F556:K556)</f>
        <v>2187640.4434059183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622784.13968174206</v>
      </c>
      <c r="G557" s="18">
        <v>452878.64992183138</v>
      </c>
      <c r="H557" s="18">
        <v>293156.17673366837</v>
      </c>
      <c r="I557" s="18">
        <v>13364.09</v>
      </c>
      <c r="J557" s="18">
        <v>0</v>
      </c>
      <c r="K557" s="18">
        <v>0</v>
      </c>
      <c r="L557" s="88">
        <f>SUM(F557:K557)</f>
        <v>1382183.056337242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540472.95194304851</v>
      </c>
      <c r="G558" s="18">
        <v>347998.2515298716</v>
      </c>
      <c r="H558" s="18">
        <v>1351432.8267839197</v>
      </c>
      <c r="I558" s="18">
        <v>5776.11</v>
      </c>
      <c r="J558" s="18">
        <v>1901.33</v>
      </c>
      <c r="K558" s="18">
        <v>0</v>
      </c>
      <c r="L558" s="88">
        <f>SUM(F558:K558)</f>
        <v>2247581.4702568399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2329589.13</v>
      </c>
      <c r="G559" s="108">
        <f t="shared" si="44"/>
        <v>1556372.4300000002</v>
      </c>
      <c r="H559" s="108">
        <f t="shared" si="44"/>
        <v>1878552.1900000002</v>
      </c>
      <c r="I559" s="108">
        <f t="shared" si="44"/>
        <v>46069.279999999999</v>
      </c>
      <c r="J559" s="108">
        <f t="shared" si="44"/>
        <v>6821.94</v>
      </c>
      <c r="K559" s="108">
        <f t="shared" si="44"/>
        <v>0</v>
      </c>
      <c r="L559" s="89">
        <f t="shared" si="44"/>
        <v>5817404.9700000007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33092.019999999997</v>
      </c>
      <c r="G561" s="18">
        <v>26180.52</v>
      </c>
      <c r="H561" s="18">
        <v>0</v>
      </c>
      <c r="I561" s="18">
        <v>739.23</v>
      </c>
      <c r="J561" s="18">
        <v>0</v>
      </c>
      <c r="K561" s="18">
        <v>0</v>
      </c>
      <c r="L561" s="88">
        <f>SUM(F561:K561)</f>
        <v>60011.77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38177.1</v>
      </c>
      <c r="G562" s="18">
        <v>7519.43</v>
      </c>
      <c r="H562" s="18">
        <v>0</v>
      </c>
      <c r="I562" s="18">
        <v>236.74</v>
      </c>
      <c r="J562" s="18">
        <v>0</v>
      </c>
      <c r="K562" s="18">
        <v>0</v>
      </c>
      <c r="L562" s="88">
        <f>SUM(F562:K562)</f>
        <v>45933.27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44064.02</v>
      </c>
      <c r="G563" s="18">
        <v>24505.21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68569.23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115333.13999999998</v>
      </c>
      <c r="G564" s="89">
        <f t="shared" si="45"/>
        <v>58205.159999999996</v>
      </c>
      <c r="H564" s="89">
        <f t="shared" si="45"/>
        <v>0</v>
      </c>
      <c r="I564" s="89">
        <f t="shared" si="45"/>
        <v>975.97</v>
      </c>
      <c r="J564" s="89">
        <f t="shared" si="45"/>
        <v>0</v>
      </c>
      <c r="K564" s="89">
        <f t="shared" si="45"/>
        <v>0</v>
      </c>
      <c r="L564" s="89">
        <f t="shared" si="45"/>
        <v>174514.27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6417.98</v>
      </c>
      <c r="I566" s="18">
        <v>3062.14</v>
      </c>
      <c r="J566" s="18">
        <v>0</v>
      </c>
      <c r="K566" s="18">
        <v>0</v>
      </c>
      <c r="L566" s="88">
        <f>SUM(F566:K566)</f>
        <v>9480.119999999999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3655.98</v>
      </c>
      <c r="I567" s="18">
        <v>1003.8</v>
      </c>
      <c r="J567" s="18">
        <v>0</v>
      </c>
      <c r="K567" s="18">
        <v>0</v>
      </c>
      <c r="L567" s="88">
        <f>SUM(F567:K567)</f>
        <v>4659.78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10073.959999999999</v>
      </c>
      <c r="I569" s="193">
        <f t="shared" si="46"/>
        <v>4065.9399999999996</v>
      </c>
      <c r="J569" s="193">
        <f t="shared" si="46"/>
        <v>0</v>
      </c>
      <c r="K569" s="193">
        <f t="shared" si="46"/>
        <v>0</v>
      </c>
      <c r="L569" s="193">
        <f t="shared" si="46"/>
        <v>14139.899999999998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2444922.27</v>
      </c>
      <c r="G570" s="89">
        <f t="shared" ref="G570:L570" si="47">G559+G564+G569</f>
        <v>1614577.59</v>
      </c>
      <c r="H570" s="89">
        <f t="shared" si="47"/>
        <v>1888626.1500000001</v>
      </c>
      <c r="I570" s="89">
        <f t="shared" si="47"/>
        <v>51111.19</v>
      </c>
      <c r="J570" s="89">
        <f t="shared" si="47"/>
        <v>6821.94</v>
      </c>
      <c r="K570" s="89">
        <f t="shared" si="47"/>
        <v>0</v>
      </c>
      <c r="L570" s="89">
        <f t="shared" si="47"/>
        <v>6006059.1400000006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20919.599999999999</v>
      </c>
      <c r="G578" s="18">
        <v>0</v>
      </c>
      <c r="H578" s="18">
        <v>41839.199999999997</v>
      </c>
      <c r="I578" s="87">
        <f t="shared" si="48"/>
        <v>62758.799999999996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153210.72569999998</v>
      </c>
      <c r="G581" s="18">
        <v>296742.54509999999</v>
      </c>
      <c r="H581" s="18">
        <v>1303918.6852000002</v>
      </c>
      <c r="I581" s="87">
        <f t="shared" si="48"/>
        <v>1753871.9560000002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6182.08</v>
      </c>
      <c r="I583" s="87">
        <f t="shared" si="48"/>
        <v>6182.08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150718.08290000001</v>
      </c>
      <c r="I590" s="18">
        <v>126277.31269999999</v>
      </c>
      <c r="J590" s="18">
        <v>130350.77439999999</v>
      </c>
      <c r="K590" s="104">
        <f t="shared" ref="K590:K596" si="49">SUM(H590:J590)</f>
        <v>407346.17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235131.30818537134</v>
      </c>
      <c r="I591" s="18">
        <v>122127.02490228922</v>
      </c>
      <c r="J591" s="18">
        <v>169800.70691233949</v>
      </c>
      <c r="K591" s="104">
        <f t="shared" si="49"/>
        <v>527059.04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39013.300000000003</v>
      </c>
      <c r="K592" s="104">
        <f t="shared" si="49"/>
        <v>39013.300000000003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3869.55</v>
      </c>
      <c r="J593" s="18">
        <v>25286.54</v>
      </c>
      <c r="K593" s="104">
        <f t="shared" si="49"/>
        <v>29156.09</v>
      </c>
      <c r="L593" s="24" t="s">
        <v>289</v>
      </c>
      <c r="M593" s="8"/>
    </row>
    <row r="594" spans="1:13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9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9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9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385849.39108537138</v>
      </c>
      <c r="I597" s="108">
        <f>SUM(I590:I596)</f>
        <v>252273.88760228921</v>
      </c>
      <c r="J597" s="108">
        <f>SUM(J590:J596)</f>
        <v>364451.32131233945</v>
      </c>
      <c r="K597" s="108">
        <f>SUM(K590:K596)</f>
        <v>1002574.6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37768.540136518779</v>
      </c>
      <c r="I603" s="18">
        <f>J228+J308</f>
        <v>39158.285176336743</v>
      </c>
      <c r="J603" s="18">
        <f>J246+J327</f>
        <v>67099.314687144477</v>
      </c>
      <c r="K603" s="104">
        <f>SUM(H603:J603)</f>
        <v>144026.14000000001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37768.540136518779</v>
      </c>
      <c r="I604" s="108">
        <f>SUM(I601:I603)</f>
        <v>39158.285176336743</v>
      </c>
      <c r="J604" s="108">
        <f>SUM(J601:J603)</f>
        <v>67099.314687144477</v>
      </c>
      <c r="K604" s="108">
        <f>SUM(K601:K603)</f>
        <v>144026.14000000001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88073.06</v>
      </c>
      <c r="H616" s="109">
        <f>SUM(F51)</f>
        <v>88073.06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67967.48</v>
      </c>
      <c r="H617" s="109">
        <f>SUM(G51)</f>
        <v>67967.48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325718.84000000003</v>
      </c>
      <c r="H618" s="109">
        <f>SUM(H51)</f>
        <v>325718.83999999997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544601.18999999994</v>
      </c>
      <c r="H619" s="109">
        <f>SUM(I51)</f>
        <v>544601.18999999994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120686.34</v>
      </c>
      <c r="H620" s="109">
        <f>SUM(J51)</f>
        <v>120686.34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3336.74</v>
      </c>
      <c r="H622" s="109">
        <f>G475</f>
        <v>3336.7400000001071</v>
      </c>
      <c r="I622" s="121" t="s">
        <v>102</v>
      </c>
      <c r="J622" s="109">
        <f t="shared" si="51"/>
        <v>-1.0732037480920553E-10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46478.91</v>
      </c>
      <c r="H623" s="109">
        <f>H475</f>
        <v>46478.910000000615</v>
      </c>
      <c r="I623" s="121" t="s">
        <v>103</v>
      </c>
      <c r="J623" s="109">
        <f t="shared" si="51"/>
        <v>-6.1118043959140778E-10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467391.32</v>
      </c>
      <c r="H624" s="109">
        <f>I475</f>
        <v>467391.32000000076</v>
      </c>
      <c r="I624" s="121" t="s">
        <v>104</v>
      </c>
      <c r="J624" s="109">
        <f t="shared" si="51"/>
        <v>-7.5669959187507629E-10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120686.34</v>
      </c>
      <c r="H625" s="109">
        <f>J475</f>
        <v>120686.33999999998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24151684.100000001</v>
      </c>
      <c r="H626" s="104">
        <f>SUM(F467)</f>
        <v>24151684.100000001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746476.3600000001</v>
      </c>
      <c r="H627" s="104">
        <f>SUM(G467)</f>
        <v>746476.3600000001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1505211.09</v>
      </c>
      <c r="H628" s="104">
        <f>SUM(H467)</f>
        <v>1505211.09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3967.95</v>
      </c>
      <c r="H629" s="104">
        <f>SUM(I467)</f>
        <v>3967.95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187821.37</v>
      </c>
      <c r="H630" s="104">
        <f>SUM(J467)</f>
        <v>187821.37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24151684.100000001</v>
      </c>
      <c r="H631" s="104">
        <f>SUM(F471)</f>
        <v>24151684.100000001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1599060.0599999996</v>
      </c>
      <c r="H632" s="104">
        <f>SUM(H471)</f>
        <v>1599060.0599999996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268.12</v>
      </c>
      <c r="H633" s="104">
        <f>I368</f>
        <v>268.12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624912.74</v>
      </c>
      <c r="H634" s="104">
        <f>SUM(G471)</f>
        <v>624912.74</v>
      </c>
      <c r="I634" s="140" t="s">
        <v>114</v>
      </c>
      <c r="J634" s="109">
        <f t="shared" si="51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2580531.0399999996</v>
      </c>
      <c r="H635" s="104">
        <f>SUM(I471)</f>
        <v>2580531.0399999996</v>
      </c>
      <c r="I635" s="140" t="s">
        <v>116</v>
      </c>
      <c r="J635" s="109">
        <f t="shared" si="51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187821.37</v>
      </c>
      <c r="H636" s="163">
        <f>SUM(J467)</f>
        <v>187821.37</v>
      </c>
      <c r="I636" s="164" t="s">
        <v>110</v>
      </c>
      <c r="J636" s="150">
        <f t="shared" si="51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117483.77</v>
      </c>
      <c r="H637" s="163">
        <f>SUM(J471)</f>
        <v>117483.77</v>
      </c>
      <c r="I637" s="164" t="s">
        <v>117</v>
      </c>
      <c r="J637" s="150">
        <f t="shared" si="51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120686.34</v>
      </c>
      <c r="H640" s="104">
        <f>SUM(H460)</f>
        <v>120686.34</v>
      </c>
      <c r="I640" s="140" t="s">
        <v>870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120686.34</v>
      </c>
      <c r="H641" s="104">
        <f>SUM(I460)</f>
        <v>120686.34</v>
      </c>
      <c r="I641" s="140" t="s">
        <v>871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187821.37</v>
      </c>
      <c r="H645" s="104">
        <f>L407</f>
        <v>187821.37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1002574.6</v>
      </c>
      <c r="H646" s="104">
        <f>L207+L225+L243</f>
        <v>1002574.6000000001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144026.14000000001</v>
      </c>
      <c r="H647" s="104">
        <f>(J256+J337)-(J254+J335)</f>
        <v>144026.14000000001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385849.38770000002</v>
      </c>
      <c r="H648" s="104">
        <f>H597</f>
        <v>385849.39108537138</v>
      </c>
      <c r="I648" s="140" t="s">
        <v>389</v>
      </c>
      <c r="J648" s="109">
        <f t="shared" si="51"/>
        <v>-3.3853713539429009E-3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252273.88509999998</v>
      </c>
      <c r="H649" s="104">
        <f>I597</f>
        <v>252273.88760228921</v>
      </c>
      <c r="I649" s="140" t="s">
        <v>390</v>
      </c>
      <c r="J649" s="109">
        <f t="shared" si="51"/>
        <v>-2.5022892223205417E-3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364451.3272</v>
      </c>
      <c r="H650" s="104">
        <f>J597</f>
        <v>364451.32131233945</v>
      </c>
      <c r="I650" s="140" t="s">
        <v>391</v>
      </c>
      <c r="J650" s="109">
        <f t="shared" si="51"/>
        <v>5.8876605471596122E-3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126949</v>
      </c>
      <c r="H651" s="104">
        <f>K262+K344</f>
        <v>126949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9196634.5517017059</v>
      </c>
      <c r="G659" s="19">
        <f>(L228+L308+L358)</f>
        <v>6466761.6095397063</v>
      </c>
      <c r="H659" s="19">
        <f>(L246+L327+L359)</f>
        <v>8593624.7387585901</v>
      </c>
      <c r="I659" s="19">
        <f>SUM(F659:H659)</f>
        <v>24257020.900000002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101997.74829999999</v>
      </c>
      <c r="G660" s="19">
        <f>(L358/IF(SUM(L357:L359)=0,1,SUM(L357:L359))*(SUM(G96:G109)))</f>
        <v>85457.572900000014</v>
      </c>
      <c r="H660" s="19">
        <f>(L359/IF(SUM(L357:L359)=0,1,SUM(L357:L359))*(SUM(G96:G109)))</f>
        <v>88214.268799999991</v>
      </c>
      <c r="I660" s="19">
        <f>SUM(F660:H660)</f>
        <v>275669.58999999997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385849.38770000002</v>
      </c>
      <c r="G661" s="19">
        <f>(L225+L305)-(J225+J305)</f>
        <v>254273.88509999998</v>
      </c>
      <c r="H661" s="19">
        <f>(L243+L324)-(J243+J324)</f>
        <v>364451.3272</v>
      </c>
      <c r="I661" s="19">
        <f>SUM(F661:H661)</f>
        <v>1004574.6000000001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8"/>
      <c r="C662" s="168"/>
      <c r="D662" s="168"/>
      <c r="E662" s="168"/>
      <c r="F662" s="199">
        <f>SUM(F574:F586)+SUM(H601:H603)+SUM(L610)</f>
        <v>211898.86583651876</v>
      </c>
      <c r="G662" s="199">
        <f>SUM(G574:G586)+SUM(I601:I603)+L611</f>
        <v>335900.83027633675</v>
      </c>
      <c r="H662" s="199">
        <f>SUM(H574:H586)+SUM(J601:J603)+L612</f>
        <v>1419039.2798871447</v>
      </c>
      <c r="I662" s="19">
        <f>SUM(F662:H662)</f>
        <v>1966838.9760000003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8496888.5498651862</v>
      </c>
      <c r="G663" s="19">
        <f>G659-SUM(G660:G662)</f>
        <v>5791129.3212633692</v>
      </c>
      <c r="H663" s="19">
        <f>H659-SUM(H660:H662)</f>
        <v>6721919.8628714457</v>
      </c>
      <c r="I663" s="19">
        <f>I659-SUM(I660:I662)</f>
        <v>21009937.734000001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725.89</v>
      </c>
      <c r="G664" s="248">
        <v>407.75</v>
      </c>
      <c r="H664" s="248">
        <v>551.78</v>
      </c>
      <c r="I664" s="19">
        <f>SUM(F664:H664)</f>
        <v>1685.4199999999998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11705.48</v>
      </c>
      <c r="G666" s="19">
        <f>ROUND(G663/G664,2)</f>
        <v>14202.65</v>
      </c>
      <c r="H666" s="19">
        <f>ROUND(H663/H664,2)</f>
        <v>12182.25</v>
      </c>
      <c r="I666" s="19">
        <f>ROUND(I663/I664,2)</f>
        <v>12465.7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10.72</v>
      </c>
      <c r="I669" s="19">
        <f>SUM(F669:H669)</f>
        <v>10.72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11705.48</v>
      </c>
      <c r="G671" s="19">
        <f>ROUND((G663+G668)/(G664+G669),2)</f>
        <v>14202.65</v>
      </c>
      <c r="H671" s="19">
        <f>ROUND((H663+H668)/(H664+H669),2)</f>
        <v>11950.08</v>
      </c>
      <c r="I671" s="19">
        <f>ROUND((I663+I668)/(I664+I669),2)</f>
        <v>12386.91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Somersworth</v>
      </c>
      <c r="C1" s="238" t="s">
        <v>839</v>
      </c>
    </row>
    <row r="2" spans="1:3" x14ac:dyDescent="0.2">
      <c r="A2" s="233"/>
      <c r="B2" s="232"/>
    </row>
    <row r="3" spans="1:3" x14ac:dyDescent="0.2">
      <c r="A3" s="273" t="s">
        <v>784</v>
      </c>
      <c r="B3" s="273"/>
      <c r="C3" s="273"/>
    </row>
    <row r="4" spans="1:3" x14ac:dyDescent="0.2">
      <c r="A4" s="236"/>
      <c r="B4" s="237" t="str">
        <f>'DOE25'!H1</f>
        <v>DOE 25  2011-2012</v>
      </c>
      <c r="C4" s="236"/>
    </row>
    <row r="5" spans="1:3" x14ac:dyDescent="0.2">
      <c r="A5" s="233"/>
      <c r="B5" s="232"/>
    </row>
    <row r="6" spans="1:3" x14ac:dyDescent="0.2">
      <c r="A6" s="227"/>
      <c r="B6" s="272" t="s">
        <v>783</v>
      </c>
      <c r="C6" s="272"/>
    </row>
    <row r="7" spans="1:3" x14ac:dyDescent="0.2">
      <c r="A7" s="239" t="s">
        <v>786</v>
      </c>
      <c r="B7" s="270" t="s">
        <v>782</v>
      </c>
      <c r="C7" s="271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5026901.34</v>
      </c>
      <c r="C9" s="229">
        <f>'DOE25'!G196+'DOE25'!G214+'DOE25'!G232+'DOE25'!G275+'DOE25'!G294+'DOE25'!G313</f>
        <v>2677578.36</v>
      </c>
    </row>
    <row r="10" spans="1:3" x14ac:dyDescent="0.2">
      <c r="A10" t="s">
        <v>779</v>
      </c>
      <c r="B10" s="240">
        <f>4094069.18</f>
        <v>4094069.18</v>
      </c>
      <c r="C10" s="240">
        <f>2282058.92</f>
        <v>2282058.92</v>
      </c>
    </row>
    <row r="11" spans="1:3" x14ac:dyDescent="0.2">
      <c r="A11" t="s">
        <v>780</v>
      </c>
      <c r="B11" s="240">
        <f>148961.75+371791.18</f>
        <v>520752.93</v>
      </c>
      <c r="C11" s="240">
        <f>64293.91+296301.55</f>
        <v>360595.45999999996</v>
      </c>
    </row>
    <row r="12" spans="1:3" x14ac:dyDescent="0.2">
      <c r="A12" t="s">
        <v>781</v>
      </c>
      <c r="B12" s="240">
        <f>24878+2000+385201.23</f>
        <v>412079.23</v>
      </c>
      <c r="C12" s="240">
        <f>4618.28+329+29976.7</f>
        <v>34923.980000000003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5026901.34</v>
      </c>
      <c r="C13" s="231">
        <f>SUM(C10:C12)</f>
        <v>2677578.36</v>
      </c>
    </row>
    <row r="14" spans="1:3" x14ac:dyDescent="0.2">
      <c r="B14" s="230"/>
      <c r="C14" s="230"/>
    </row>
    <row r="15" spans="1:3" x14ac:dyDescent="0.2">
      <c r="B15" s="272" t="s">
        <v>783</v>
      </c>
      <c r="C15" s="272"/>
    </row>
    <row r="16" spans="1:3" x14ac:dyDescent="0.2">
      <c r="A16" s="239" t="s">
        <v>787</v>
      </c>
      <c r="B16" s="270" t="s">
        <v>707</v>
      </c>
      <c r="C16" s="271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2444922.27</v>
      </c>
      <c r="C18" s="229">
        <f>'DOE25'!G197+'DOE25'!G215+'DOE25'!G233+'DOE25'!G276+'DOE25'!G295+'DOE25'!G314</f>
        <v>1614641.7000000002</v>
      </c>
    </row>
    <row r="19" spans="1:3" x14ac:dyDescent="0.2">
      <c r="A19" t="s">
        <v>779</v>
      </c>
      <c r="B19" s="240">
        <f>934336.11+30651+115333.14+200000</f>
        <v>1280320.25</v>
      </c>
      <c r="C19" s="240">
        <f>504919.22+14818+196.06+58205.16</f>
        <v>578138.43999999994</v>
      </c>
    </row>
    <row r="20" spans="1:3" x14ac:dyDescent="0.2">
      <c r="A20" t="s">
        <v>780</v>
      </c>
      <c r="B20" s="240">
        <f>207888.97+739651.14-50000+109499.5</f>
        <v>1007039.61</v>
      </c>
      <c r="C20" s="240">
        <f>786.4+119425.26+684161.15+155768.71</f>
        <v>960141.52</v>
      </c>
    </row>
    <row r="21" spans="1:3" x14ac:dyDescent="0.2">
      <c r="A21" t="s">
        <v>781</v>
      </c>
      <c r="B21" s="240">
        <f>26839.88+96112.89+34609.64</f>
        <v>157562.41</v>
      </c>
      <c r="C21" s="240">
        <f>19959.23+33083.43+23319.08</f>
        <v>76361.740000000005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2444922.27</v>
      </c>
      <c r="C22" s="231">
        <f>SUM(C19:C21)</f>
        <v>1614641.7</v>
      </c>
    </row>
    <row r="23" spans="1:3" x14ac:dyDescent="0.2">
      <c r="B23" s="230"/>
      <c r="C23" s="230"/>
    </row>
    <row r="24" spans="1:3" x14ac:dyDescent="0.2">
      <c r="B24" s="272" t="s">
        <v>783</v>
      </c>
      <c r="C24" s="272"/>
    </row>
    <row r="25" spans="1:3" x14ac:dyDescent="0.2">
      <c r="A25" s="239" t="s">
        <v>788</v>
      </c>
      <c r="B25" s="270" t="s">
        <v>708</v>
      </c>
      <c r="C25" s="271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451447.31999999995</v>
      </c>
      <c r="C27" s="234">
        <f>'DOE25'!G198+'DOE25'!G216+'DOE25'!G234+'DOE25'!G277+'DOE25'!G296+'DOE25'!G315</f>
        <v>246418.41</v>
      </c>
    </row>
    <row r="28" spans="1:3" x14ac:dyDescent="0.2">
      <c r="A28" t="s">
        <v>779</v>
      </c>
      <c r="B28" s="240">
        <v>427899.84</v>
      </c>
      <c r="C28" s="240">
        <f>240629.5+104.5+0.7</f>
        <v>240734.7</v>
      </c>
    </row>
    <row r="29" spans="1:3" x14ac:dyDescent="0.2">
      <c r="A29" t="s">
        <v>780</v>
      </c>
      <c r="B29" s="240">
        <f>5512.57+18034.91</f>
        <v>23547.48</v>
      </c>
      <c r="C29" s="240">
        <f>834.87+2345.16+29.78+1379.66+1094.24</f>
        <v>5683.71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451447.32</v>
      </c>
      <c r="C31" s="231">
        <f>SUM(C28:C30)</f>
        <v>246418.41</v>
      </c>
    </row>
    <row r="33" spans="1:3" x14ac:dyDescent="0.2">
      <c r="B33" s="272" t="s">
        <v>783</v>
      </c>
      <c r="C33" s="272"/>
    </row>
    <row r="34" spans="1:3" x14ac:dyDescent="0.2">
      <c r="A34" s="239" t="s">
        <v>789</v>
      </c>
      <c r="B34" s="270" t="s">
        <v>709</v>
      </c>
      <c r="C34" s="271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194765.06</v>
      </c>
      <c r="C36" s="235">
        <f>'DOE25'!G199+'DOE25'!G217+'DOE25'!G235+'DOE25'!G278+'DOE25'!G297+'DOE25'!G316</f>
        <v>32686.799999999999</v>
      </c>
    </row>
    <row r="37" spans="1:3" x14ac:dyDescent="0.2">
      <c r="A37" t="s">
        <v>779</v>
      </c>
      <c r="B37" s="240">
        <f>16494+89938.56+71570+16762.5</f>
        <v>194765.06</v>
      </c>
      <c r="C37" s="240">
        <f>2753.41+9296.93+1749.61+1282.37+1651.14+5784.63+5459.04+4709.67</f>
        <v>32686.800000000003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194765.06</v>
      </c>
      <c r="C40" s="231">
        <f>SUM(C37:C39)</f>
        <v>32686.800000000003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790</v>
      </c>
      <c r="B1" s="277"/>
      <c r="C1" s="277"/>
      <c r="D1" s="277"/>
      <c r="E1" s="277"/>
      <c r="F1" s="277"/>
      <c r="G1" s="277"/>
      <c r="H1" s="277"/>
      <c r="I1" s="180"/>
    </row>
    <row r="2" spans="1:9" x14ac:dyDescent="0.2">
      <c r="A2" s="33" t="s">
        <v>717</v>
      </c>
      <c r="B2" s="265" t="str">
        <f>'DOE25'!A2</f>
        <v>Somersworth</v>
      </c>
      <c r="C2" s="180"/>
      <c r="D2" s="180" t="s">
        <v>792</v>
      </c>
      <c r="E2" s="180" t="s">
        <v>794</v>
      </c>
      <c r="F2" s="274" t="s">
        <v>821</v>
      </c>
      <c r="G2" s="275"/>
      <c r="H2" s="276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793</v>
      </c>
      <c r="E3" s="180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14204081.790000001</v>
      </c>
      <c r="D5" s="20">
        <f>SUM('DOE25'!L196:L199)+SUM('DOE25'!L214:L217)+SUM('DOE25'!L232:L235)-F5-G5</f>
        <v>14118458.790000001</v>
      </c>
      <c r="E5" s="243"/>
      <c r="F5" s="255">
        <f>SUM('DOE25'!J196:J199)+SUM('DOE25'!J214:J217)+SUM('DOE25'!J232:J235)</f>
        <v>80616.47</v>
      </c>
      <c r="G5" s="53">
        <f>SUM('DOE25'!K196:K199)+SUM('DOE25'!K214:K217)+SUM('DOE25'!K232:K235)</f>
        <v>5006.53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1492995.46</v>
      </c>
      <c r="D6" s="20">
        <f>'DOE25'!L201+'DOE25'!L219+'DOE25'!L237-F6-G6</f>
        <v>1479604.39</v>
      </c>
      <c r="E6" s="243"/>
      <c r="F6" s="255">
        <f>'DOE25'!J201+'DOE25'!J219+'DOE25'!J237</f>
        <v>789.2</v>
      </c>
      <c r="G6" s="53">
        <f>'DOE25'!K201+'DOE25'!K219+'DOE25'!K237</f>
        <v>12601.87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244234.71000000002</v>
      </c>
      <c r="D7" s="20">
        <f>'DOE25'!L202+'DOE25'!L220+'DOE25'!L238-F7-G7</f>
        <v>238470.78000000003</v>
      </c>
      <c r="E7" s="243"/>
      <c r="F7" s="255">
        <f>'DOE25'!J202+'DOE25'!J220+'DOE25'!J238</f>
        <v>5763.93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651335.93038072879</v>
      </c>
      <c r="D8" s="243"/>
      <c r="E8" s="20">
        <f>'DOE25'!L203+'DOE25'!L221+'DOE25'!L239-F8-G8-D9-D11</f>
        <v>645951.22038072883</v>
      </c>
      <c r="F8" s="255">
        <f>'DOE25'!J203+'DOE25'!J221+'DOE25'!J239</f>
        <v>0</v>
      </c>
      <c r="G8" s="53">
        <f>'DOE25'!K203+'DOE25'!K221+'DOE25'!K239</f>
        <v>5384.71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19574.86</v>
      </c>
      <c r="D9" s="244">
        <f>5114.71+14460.15</f>
        <v>19574.86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7923.23</v>
      </c>
      <c r="D10" s="243"/>
      <c r="E10" s="244">
        <v>7923.23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277600.37961927109</v>
      </c>
      <c r="D11" s="244">
        <v>277600.37961927109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1398399.8599999999</v>
      </c>
      <c r="D12" s="20">
        <f>'DOE25'!L204+'DOE25'!L222+'DOE25'!L240-F12-G12</f>
        <v>1385162.52</v>
      </c>
      <c r="E12" s="243"/>
      <c r="F12" s="255">
        <f>'DOE25'!J204+'DOE25'!J222+'DOE25'!J240</f>
        <v>4900.6699999999992</v>
      </c>
      <c r="G12" s="53">
        <f>'DOE25'!K204+'DOE25'!K222+'DOE25'!K240</f>
        <v>8336.67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2484470.7799999998</v>
      </c>
      <c r="D14" s="20">
        <f>'DOE25'!L206+'DOE25'!L224+'DOE25'!L242-F14-G14</f>
        <v>2474561.4</v>
      </c>
      <c r="E14" s="243"/>
      <c r="F14" s="255">
        <f>'DOE25'!J206+'DOE25'!J224+'DOE25'!J242</f>
        <v>9909.3799999999992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1002574.6000000001</v>
      </c>
      <c r="D15" s="20">
        <f>'DOE25'!L207+'DOE25'!L225+'DOE25'!L243-F15-G15</f>
        <v>1002574.6000000001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257779.73</v>
      </c>
      <c r="D16" s="243"/>
      <c r="E16" s="20">
        <f>'DOE25'!L208+'DOE25'!L226+'DOE25'!L244-F16-G16</f>
        <v>257779.73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1991687</v>
      </c>
      <c r="D25" s="243"/>
      <c r="E25" s="243"/>
      <c r="F25" s="258"/>
      <c r="G25" s="256"/>
      <c r="H25" s="257">
        <f>'DOE25'!L259+'DOE25'!L260+'DOE25'!L340+'DOE25'!L341</f>
        <v>1991687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624912.74</v>
      </c>
      <c r="D29" s="20">
        <f>'DOE25'!L357+'DOE25'!L358+'DOE25'!L359-'DOE25'!I366-F29-G29</f>
        <v>624844.04</v>
      </c>
      <c r="E29" s="243"/>
      <c r="F29" s="255">
        <f>'DOE25'!J357+'DOE25'!J358+'DOE25'!J359</f>
        <v>0</v>
      </c>
      <c r="G29" s="53">
        <f>'DOE25'!K357+'DOE25'!K358+'DOE25'!K359</f>
        <v>68.7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1599060.0599999996</v>
      </c>
      <c r="D31" s="20">
        <f>'DOE25'!L289+'DOE25'!L308+'DOE25'!L327+'DOE25'!L332+'DOE25'!L333+'DOE25'!L334-F31-G31</f>
        <v>1503366.6499999997</v>
      </c>
      <c r="E31" s="243"/>
      <c r="F31" s="255">
        <f>'DOE25'!J289+'DOE25'!J308+'DOE25'!J327+'DOE25'!J332+'DOE25'!J333+'DOE25'!J334</f>
        <v>42046.490000000005</v>
      </c>
      <c r="G31" s="53">
        <f>'DOE25'!K289+'DOE25'!K308+'DOE25'!K327+'DOE25'!K332+'DOE25'!K333+'DOE25'!K334</f>
        <v>53646.92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23124218.409619268</v>
      </c>
      <c r="E33" s="246">
        <f>SUM(E5:E31)</f>
        <v>911654.18038072879</v>
      </c>
      <c r="F33" s="246">
        <f>SUM(F5:F31)</f>
        <v>144026.14000000001</v>
      </c>
      <c r="G33" s="246">
        <f>SUM(G5:G31)</f>
        <v>85045.4</v>
      </c>
      <c r="H33" s="246">
        <f>SUM(H5:H31)</f>
        <v>1991687</v>
      </c>
    </row>
    <row r="35" spans="2:8" ht="12" thickBot="1" x14ac:dyDescent="0.25">
      <c r="B35" s="253" t="s">
        <v>847</v>
      </c>
      <c r="D35" s="254">
        <f>E33</f>
        <v>911654.18038072879</v>
      </c>
      <c r="E35" s="249"/>
    </row>
    <row r="36" spans="2:8" ht="12" thickTop="1" x14ac:dyDescent="0.2">
      <c r="B36" t="s">
        <v>815</v>
      </c>
      <c r="D36" s="20">
        <f>D33</f>
        <v>23124218.409619268</v>
      </c>
    </row>
    <row r="38" spans="2:8" x14ac:dyDescent="0.2">
      <c r="B38" s="186" t="s">
        <v>859</v>
      </c>
      <c r="C38" s="266"/>
      <c r="D38" s="267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Somersworth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51952.56</v>
      </c>
      <c r="D12" s="95">
        <f>'DOE25'!G13</f>
        <v>63123.76</v>
      </c>
      <c r="E12" s="95">
        <f>'DOE25'!H13</f>
        <v>325718.84000000003</v>
      </c>
      <c r="F12" s="95">
        <f>'DOE25'!I13</f>
        <v>544601.18999999994</v>
      </c>
      <c r="G12" s="95">
        <f>'DOE25'!J13</f>
        <v>120686.34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36120.5</v>
      </c>
      <c r="D13" s="95">
        <f>'DOE25'!G14</f>
        <v>4843.72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88073.06</v>
      </c>
      <c r="D18" s="41">
        <f>SUM(D8:D17)</f>
        <v>67967.48</v>
      </c>
      <c r="E18" s="41">
        <f>SUM(E8:E17)</f>
        <v>325718.84000000003</v>
      </c>
      <c r="F18" s="41">
        <f>SUM(F8:F17)</f>
        <v>544601.18999999994</v>
      </c>
      <c r="G18" s="41">
        <f>SUM(G8:G17)</f>
        <v>120686.34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50667.39</v>
      </c>
      <c r="E22" s="95">
        <f>'DOE25'!H23</f>
        <v>260743.41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88073.06</v>
      </c>
      <c r="D23" s="95">
        <f>'DOE25'!G24</f>
        <v>13963.35</v>
      </c>
      <c r="E23" s="95">
        <f>'DOE25'!H24</f>
        <v>18496.52</v>
      </c>
      <c r="F23" s="95">
        <f>'DOE25'!I24</f>
        <v>27209.87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50000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88073.06</v>
      </c>
      <c r="D31" s="41">
        <f>SUM(D21:D30)</f>
        <v>64630.74</v>
      </c>
      <c r="E31" s="41">
        <f>SUM(E21:E30)</f>
        <v>279239.93</v>
      </c>
      <c r="F31" s="41">
        <f>SUM(F21:F30)</f>
        <v>77209.87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3336.74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467391.32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46478.91</v>
      </c>
      <c r="F46" s="95">
        <f>'DOE25'!I47</f>
        <v>0</v>
      </c>
      <c r="G46" s="95">
        <f>'DOE25'!J47</f>
        <v>120686.34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0</v>
      </c>
      <c r="D49" s="41">
        <f>SUM(D34:D48)</f>
        <v>3336.74</v>
      </c>
      <c r="E49" s="41">
        <f>SUM(E34:E48)</f>
        <v>46478.91</v>
      </c>
      <c r="F49" s="41">
        <f>SUM(F34:F48)</f>
        <v>467391.32</v>
      </c>
      <c r="G49" s="41">
        <f>SUM(G34:G48)</f>
        <v>120686.34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88073.06</v>
      </c>
      <c r="D50" s="41">
        <f>D49+D31</f>
        <v>67967.48</v>
      </c>
      <c r="E50" s="41">
        <f>E49+E31</f>
        <v>325718.83999999997</v>
      </c>
      <c r="F50" s="41">
        <f>F49+F31</f>
        <v>544601.18999999994</v>
      </c>
      <c r="G50" s="41">
        <f>G49+G31</f>
        <v>120686.34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11410961.960000001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1488049.35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3967.95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258470.07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45487.53</v>
      </c>
      <c r="D60" s="95">
        <f>SUM('DOE25'!G97:G109)</f>
        <v>17199.52</v>
      </c>
      <c r="E60" s="95">
        <f>SUM('DOE25'!H97:H109)</f>
        <v>0</v>
      </c>
      <c r="F60" s="95">
        <f>SUM('DOE25'!I97:I109)</f>
        <v>0</v>
      </c>
      <c r="G60" s="95">
        <f>SUM('DOE25'!J97:J109)</f>
        <v>187821.37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1533536.8800000001</v>
      </c>
      <c r="D61" s="130">
        <f>SUM(D56:D60)</f>
        <v>275669.59000000003</v>
      </c>
      <c r="E61" s="130">
        <f>SUM(E56:E60)</f>
        <v>0</v>
      </c>
      <c r="F61" s="130">
        <f>SUM(F56:F60)</f>
        <v>3967.95</v>
      </c>
      <c r="G61" s="130">
        <f>SUM(G56:G60)</f>
        <v>187821.37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12944498.840000002</v>
      </c>
      <c r="D62" s="22">
        <f>D55+D61</f>
        <v>275669.59000000003</v>
      </c>
      <c r="E62" s="22">
        <f>E55+E61</f>
        <v>0</v>
      </c>
      <c r="F62" s="22">
        <f>F55+F61</f>
        <v>3967.95</v>
      </c>
      <c r="G62" s="22">
        <f>G55+G61</f>
        <v>187821.37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7282439.25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2010945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6309.75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15570.27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9315264.2699999996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1014795.06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500960.87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114660.6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7449.27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1630416.5300000003</v>
      </c>
      <c r="D77" s="130">
        <f>SUM(D71:D76)</f>
        <v>7449.27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10945680.800000001</v>
      </c>
      <c r="D80" s="130">
        <f>SUM(D78:D79)+D77+D69</f>
        <v>7449.27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261504.46</v>
      </c>
      <c r="D87" s="95">
        <f>SUM('DOE25'!G152:G160)</f>
        <v>336408.5</v>
      </c>
      <c r="E87" s="95">
        <f>SUM('DOE25'!H152:H160)</f>
        <v>1505211.09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261504.46</v>
      </c>
      <c r="D90" s="131">
        <f>SUM(D84:D89)</f>
        <v>336408.5</v>
      </c>
      <c r="E90" s="131">
        <f>SUM(E84:E89)</f>
        <v>1505211.09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126949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126949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24151684.100000001</v>
      </c>
      <c r="D103" s="86">
        <f>D62+D80+D90+D102</f>
        <v>746476.3600000001</v>
      </c>
      <c r="E103" s="86">
        <f>E62+E80+E90+E102</f>
        <v>1505211.09</v>
      </c>
      <c r="F103" s="86">
        <f>F62+F80+F90+F102</f>
        <v>3967.95</v>
      </c>
      <c r="G103" s="86">
        <f>G62+G80+G102</f>
        <v>187821.37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7834803.2100000009</v>
      </c>
      <c r="D108" s="24" t="s">
        <v>289</v>
      </c>
      <c r="E108" s="95">
        <f>('DOE25'!L275)+('DOE25'!L294)+('DOE25'!L313)</f>
        <v>332609.84999999998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5463164.1599999992</v>
      </c>
      <c r="D109" s="24" t="s">
        <v>289</v>
      </c>
      <c r="E109" s="95">
        <f>('DOE25'!L276)+('DOE25'!L295)+('DOE25'!L314)</f>
        <v>542895.05999999994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764700.98999999987</v>
      </c>
      <c r="D110" s="24" t="s">
        <v>289</v>
      </c>
      <c r="E110" s="95">
        <f>('DOE25'!L277)+('DOE25'!L296)+('DOE25'!L315)</f>
        <v>142851.93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141413.43</v>
      </c>
      <c r="D111" s="24" t="s">
        <v>289</v>
      </c>
      <c r="E111" s="95">
        <f>+('DOE25'!L278)+('DOE25'!L297)+('DOE25'!L316)</f>
        <v>231864.03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14204081.790000001</v>
      </c>
      <c r="D114" s="86">
        <f>SUM(D108:D113)</f>
        <v>0</v>
      </c>
      <c r="E114" s="86">
        <f>SUM(E108:E113)</f>
        <v>1250220.8699999999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1492995.46</v>
      </c>
      <c r="D117" s="24" t="s">
        <v>289</v>
      </c>
      <c r="E117" s="95">
        <f>+('DOE25'!L280)+('DOE25'!L299)+('DOE25'!L318)</f>
        <v>13601.22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244234.71000000002</v>
      </c>
      <c r="D118" s="24" t="s">
        <v>289</v>
      </c>
      <c r="E118" s="95">
        <f>+('DOE25'!L281)+('DOE25'!L300)+('DOE25'!L319)</f>
        <v>220145.85999999996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948511.16999999993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1398399.8599999999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113092.10999999999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2484470.7799999998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1002574.6000000001</v>
      </c>
      <c r="D123" s="24" t="s">
        <v>289</v>
      </c>
      <c r="E123" s="95">
        <f>+('DOE25'!L286)+('DOE25'!L305)+('DOE25'!L324)</f>
        <v>2000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257779.73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624912.74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7828966.3100000005</v>
      </c>
      <c r="D127" s="86">
        <f>SUM(D117:D126)</f>
        <v>624912.74</v>
      </c>
      <c r="E127" s="86">
        <f>SUM(E117:E126)</f>
        <v>348839.18999999994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2580531.0399999996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1737512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254175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540</v>
      </c>
    </row>
    <row r="134" spans="1:7" x14ac:dyDescent="0.2">
      <c r="A134" t="s">
        <v>233</v>
      </c>
      <c r="B134" s="32" t="s">
        <v>234</v>
      </c>
      <c r="C134" s="95">
        <f>'DOE25'!L262</f>
        <v>126949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187821.37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-187821.37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2118636</v>
      </c>
      <c r="D143" s="141">
        <f>SUM(D129:D142)</f>
        <v>0</v>
      </c>
      <c r="E143" s="141">
        <f>SUM(E129:E142)</f>
        <v>0</v>
      </c>
      <c r="F143" s="141">
        <f>SUM(F129:F142)</f>
        <v>2580531.0399999996</v>
      </c>
      <c r="G143" s="141">
        <f>SUM(G129:G142)</f>
        <v>540</v>
      </c>
    </row>
    <row r="144" spans="1:7" ht="12.75" thickTop="1" thickBot="1" x14ac:dyDescent="0.25">
      <c r="A144" s="33" t="s">
        <v>244</v>
      </c>
      <c r="C144" s="86">
        <f>(C114+C127+C143)</f>
        <v>24151684.100000001</v>
      </c>
      <c r="D144" s="86">
        <f>(D114+D127+D143)</f>
        <v>624912.74</v>
      </c>
      <c r="E144" s="86">
        <f>(E114+E127+E143)</f>
        <v>1599060.0599999998</v>
      </c>
      <c r="F144" s="86">
        <f>(F114+F127+F143)</f>
        <v>2580531.0399999996</v>
      </c>
      <c r="G144" s="86">
        <f>(G114+G127+G143)</f>
        <v>540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1</v>
      </c>
      <c r="C150" s="152">
        <f>'DOE25'!G489</f>
        <v>2</v>
      </c>
      <c r="D150" s="152">
        <f>'DOE25'!H489</f>
        <v>3</v>
      </c>
      <c r="E150" s="152">
        <f>'DOE25'!I489</f>
        <v>4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 t="str">
        <f>'DOE25'!F490</f>
        <v>0</v>
      </c>
      <c r="C151" s="151" t="str">
        <f>'DOE25'!G490</f>
        <v>0</v>
      </c>
      <c r="D151" s="151" t="str">
        <f>'DOE25'!H490</f>
        <v>07/08</v>
      </c>
      <c r="E151" s="151" t="str">
        <f>'DOE25'!I490</f>
        <v>01/10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 t="str">
        <f>'DOE25'!F491</f>
        <v>0</v>
      </c>
      <c r="C152" s="151" t="str">
        <f>'DOE25'!G491</f>
        <v>0</v>
      </c>
      <c r="D152" s="151" t="str">
        <f>'DOE25'!H491</f>
        <v>08/18</v>
      </c>
      <c r="E152" s="151" t="str">
        <f>'DOE25'!I491</f>
        <v>01/30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5300000</v>
      </c>
      <c r="C153" s="137">
        <f>'DOE25'!G492</f>
        <v>310000</v>
      </c>
      <c r="D153" s="137">
        <f>'DOE25'!H492</f>
        <v>1338545</v>
      </c>
      <c r="E153" s="137">
        <f>'DOE25'!I492</f>
        <v>18953000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5.63</v>
      </c>
      <c r="C154" s="137">
        <f>'DOE25'!G493</f>
        <v>5.2</v>
      </c>
      <c r="D154" s="137">
        <f>'DOE25'!H493</f>
        <v>3.68</v>
      </c>
      <c r="E154" s="137">
        <f>'DOE25'!I493</f>
        <v>3.73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1590000</v>
      </c>
      <c r="C155" s="137">
        <f>'DOE25'!G494</f>
        <v>135000</v>
      </c>
      <c r="D155" s="137">
        <f>'DOE25'!H494</f>
        <v>1070000</v>
      </c>
      <c r="E155" s="137">
        <f>'DOE25'!I494</f>
        <v>17574715</v>
      </c>
      <c r="F155" s="137">
        <f>'DOE25'!J494</f>
        <v>0</v>
      </c>
      <c r="G155" s="138">
        <f>SUM(B155:F155)</f>
        <v>20369715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265000</v>
      </c>
      <c r="C157" s="137">
        <f>'DOE25'!G496</f>
        <v>15000</v>
      </c>
      <c r="D157" s="137">
        <f>'DOE25'!H496</f>
        <v>135000</v>
      </c>
      <c r="E157" s="137">
        <f>'DOE25'!I496</f>
        <v>1322512</v>
      </c>
      <c r="F157" s="137">
        <f>'DOE25'!J496</f>
        <v>0</v>
      </c>
      <c r="G157" s="138">
        <f t="shared" si="0"/>
        <v>1737512</v>
      </c>
    </row>
    <row r="158" spans="1:9" x14ac:dyDescent="0.2">
      <c r="A158" s="22" t="s">
        <v>35</v>
      </c>
      <c r="B158" s="137">
        <f>'DOE25'!F497</f>
        <v>1325000</v>
      </c>
      <c r="C158" s="137">
        <f>'DOE25'!G497</f>
        <v>120000</v>
      </c>
      <c r="D158" s="137">
        <f>'DOE25'!H497</f>
        <v>935000</v>
      </c>
      <c r="E158" s="137">
        <f>'DOE25'!I497</f>
        <v>16252203</v>
      </c>
      <c r="F158" s="137">
        <f>'DOE25'!J497</f>
        <v>0</v>
      </c>
      <c r="G158" s="138">
        <f t="shared" si="0"/>
        <v>18632203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1325000</v>
      </c>
      <c r="C160" s="137">
        <f>'DOE25'!G499</f>
        <v>120000</v>
      </c>
      <c r="D160" s="137">
        <f>'DOE25'!H499</f>
        <v>935000</v>
      </c>
      <c r="E160" s="137">
        <f>'DOE25'!I499</f>
        <v>16252203</v>
      </c>
      <c r="F160" s="137">
        <f>'DOE25'!J499</f>
        <v>0</v>
      </c>
      <c r="G160" s="138">
        <f t="shared" si="0"/>
        <v>18632203</v>
      </c>
    </row>
    <row r="161" spans="1:7" x14ac:dyDescent="0.2">
      <c r="A161" s="22" t="s">
        <v>38</v>
      </c>
      <c r="B161" s="137">
        <f>'DOE25'!F500</f>
        <v>265000</v>
      </c>
      <c r="C161" s="137">
        <f>'DOE25'!G500</f>
        <v>15000</v>
      </c>
      <c r="D161" s="137">
        <f>'DOE25'!H500</f>
        <v>135000</v>
      </c>
      <c r="E161" s="137">
        <f>'DOE25'!I500</f>
        <v>1268130</v>
      </c>
      <c r="F161" s="137">
        <f>'DOE25'!J500</f>
        <v>0</v>
      </c>
      <c r="G161" s="138">
        <f t="shared" si="0"/>
        <v>1683130</v>
      </c>
    </row>
    <row r="162" spans="1:7" x14ac:dyDescent="0.2">
      <c r="A162" s="22" t="s">
        <v>39</v>
      </c>
      <c r="B162" s="137">
        <f>'DOE25'!F501</f>
        <v>68569</v>
      </c>
      <c r="C162" s="137">
        <f>'DOE25'!G501</f>
        <v>5906</v>
      </c>
      <c r="D162" s="137">
        <f>'DOE25'!H501</f>
        <v>45375</v>
      </c>
      <c r="E162" s="137">
        <f>'DOE25'!I501</f>
        <v>165533</v>
      </c>
      <c r="F162" s="137">
        <f>'DOE25'!J501</f>
        <v>0</v>
      </c>
      <c r="G162" s="138">
        <f t="shared" si="0"/>
        <v>285383</v>
      </c>
    </row>
    <row r="163" spans="1:7" x14ac:dyDescent="0.2">
      <c r="A163" s="22" t="s">
        <v>246</v>
      </c>
      <c r="B163" s="137">
        <f>'DOE25'!F502</f>
        <v>333569</v>
      </c>
      <c r="C163" s="137">
        <f>'DOE25'!G502</f>
        <v>20906</v>
      </c>
      <c r="D163" s="137">
        <f>'DOE25'!H502</f>
        <v>180375</v>
      </c>
      <c r="E163" s="137">
        <f>'DOE25'!I502</f>
        <v>1433663</v>
      </c>
      <c r="F163" s="137">
        <f>'DOE25'!J502</f>
        <v>0</v>
      </c>
      <c r="G163" s="138">
        <f t="shared" si="0"/>
        <v>1968513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740</v>
      </c>
      <c r="B1" s="278"/>
      <c r="C1" s="278"/>
      <c r="D1" s="278"/>
    </row>
    <row r="2" spans="1:4" x14ac:dyDescent="0.2">
      <c r="A2" s="186" t="s">
        <v>717</v>
      </c>
      <c r="B2" s="185" t="str">
        <f>'DOE25'!A2</f>
        <v>Somersworth</v>
      </c>
    </row>
    <row r="3" spans="1:4" x14ac:dyDescent="0.2">
      <c r="B3" s="187" t="s">
        <v>862</v>
      </c>
    </row>
    <row r="4" spans="1:4" x14ac:dyDescent="0.2">
      <c r="B4" t="s">
        <v>61</v>
      </c>
      <c r="C4" s="178">
        <f>IF('DOE25'!F664+'DOE25'!F669=0,0,ROUND('DOE25'!F671,0))</f>
        <v>11705</v>
      </c>
    </row>
    <row r="5" spans="1:4" x14ac:dyDescent="0.2">
      <c r="B5" t="s">
        <v>704</v>
      </c>
      <c r="C5" s="178">
        <f>IF('DOE25'!G664+'DOE25'!G669=0,0,ROUND('DOE25'!G671,0))</f>
        <v>14203</v>
      </c>
    </row>
    <row r="6" spans="1:4" x14ac:dyDescent="0.2">
      <c r="B6" t="s">
        <v>62</v>
      </c>
      <c r="C6" s="178">
        <f>IF('DOE25'!H664+'DOE25'!H669=0,0,ROUND('DOE25'!H671,0))</f>
        <v>11950</v>
      </c>
    </row>
    <row r="7" spans="1:4" x14ac:dyDescent="0.2">
      <c r="B7" t="s">
        <v>705</v>
      </c>
      <c r="C7" s="178">
        <f>IF('DOE25'!I664+'DOE25'!I669=0,0,ROUND('DOE25'!I671,0))</f>
        <v>12387</v>
      </c>
    </row>
    <row r="9" spans="1:4" x14ac:dyDescent="0.2">
      <c r="A9" s="186" t="s">
        <v>94</v>
      </c>
      <c r="B9" s="187" t="s">
        <v>861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8167413</v>
      </c>
      <c r="D10" s="181">
        <f>ROUND((C10/$C$28)*100,1)</f>
        <v>33.700000000000003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6006059</v>
      </c>
      <c r="D11" s="181">
        <f>ROUND((C11/$C$28)*100,1)</f>
        <v>24.8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907553</v>
      </c>
      <c r="D12" s="181">
        <f>ROUND((C12/$C$28)*100,1)</f>
        <v>3.7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373277</v>
      </c>
      <c r="D13" s="181">
        <f>ROUND((C13/$C$28)*100,1)</f>
        <v>1.5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1506597</v>
      </c>
      <c r="D15" s="181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464381</v>
      </c>
      <c r="D16" s="181">
        <f t="shared" si="0"/>
        <v>1.9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1206291</v>
      </c>
      <c r="D17" s="181">
        <f t="shared" si="0"/>
        <v>5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1398400</v>
      </c>
      <c r="D18" s="181">
        <f t="shared" si="0"/>
        <v>5.8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113092</v>
      </c>
      <c r="D19" s="181">
        <f t="shared" si="0"/>
        <v>0.5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2484471</v>
      </c>
      <c r="D20" s="181">
        <f t="shared" si="0"/>
        <v>10.3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1004575</v>
      </c>
      <c r="D21" s="181">
        <f t="shared" si="0"/>
        <v>4.0999999999999996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254175</v>
      </c>
      <c r="D25" s="181">
        <f t="shared" si="0"/>
        <v>1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349243.41</v>
      </c>
      <c r="D27" s="181">
        <f t="shared" si="0"/>
        <v>1.4</v>
      </c>
    </row>
    <row r="28" spans="1:4" x14ac:dyDescent="0.2">
      <c r="B28" s="186" t="s">
        <v>723</v>
      </c>
      <c r="C28" s="179">
        <f>SUM(C10:C27)</f>
        <v>24235527.41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2580531</v>
      </c>
    </row>
    <row r="30" spans="1:4" x14ac:dyDescent="0.2">
      <c r="B30" s="186" t="s">
        <v>729</v>
      </c>
      <c r="C30" s="179">
        <f>SUM(C28:C29)</f>
        <v>26816058.41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1737512</v>
      </c>
    </row>
    <row r="34" spans="1:4" x14ac:dyDescent="0.2">
      <c r="A34" s="186" t="s">
        <v>94</v>
      </c>
      <c r="B34" s="187" t="s">
        <v>860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11410962</v>
      </c>
      <c r="D35" s="181">
        <f t="shared" ref="D35:D40" si="1">ROUND((C35/$C$41)*100,1)</f>
        <v>43.6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1725326.1599999983</v>
      </c>
      <c r="D36" s="181">
        <f t="shared" si="1"/>
        <v>6.6</v>
      </c>
    </row>
    <row r="37" spans="1:4" x14ac:dyDescent="0.2">
      <c r="A37" s="182" t="s">
        <v>853</v>
      </c>
      <c r="B37" s="184" t="s">
        <v>732</v>
      </c>
      <c r="C37" s="178">
        <f>ROUND('DOE25'!F116+'DOE25'!F117+'DOE25'!F118,0)</f>
        <v>9299694</v>
      </c>
      <c r="D37" s="181">
        <f t="shared" si="1"/>
        <v>35.5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1653436</v>
      </c>
      <c r="D38" s="181">
        <f t="shared" si="1"/>
        <v>6.3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2103124</v>
      </c>
      <c r="D39" s="181">
        <f t="shared" si="1"/>
        <v>8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26192542.159999996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3" t="s">
        <v>770</v>
      </c>
      <c r="B1" s="284"/>
      <c r="C1" s="284"/>
      <c r="D1" s="284"/>
      <c r="E1" s="284"/>
      <c r="F1" s="284"/>
      <c r="G1" s="284"/>
      <c r="H1" s="284"/>
      <c r="I1" s="28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7" t="str">
        <f>'DOE25'!A2</f>
        <v>Somersworth</v>
      </c>
      <c r="G2" s="288"/>
      <c r="H2" s="288"/>
      <c r="I2" s="28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5" t="s">
        <v>771</v>
      </c>
      <c r="D3" s="285"/>
      <c r="E3" s="285"/>
      <c r="F3" s="285"/>
      <c r="G3" s="285"/>
      <c r="H3" s="285"/>
      <c r="I3" s="285"/>
      <c r="J3" s="285"/>
      <c r="K3" s="285"/>
      <c r="L3" s="285"/>
      <c r="M3" s="286"/>
    </row>
    <row r="4" spans="1:26" x14ac:dyDescent="0.2">
      <c r="A4" s="218"/>
      <c r="B4" s="21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</row>
    <row r="74" spans="1:13" x14ac:dyDescent="0.2">
      <c r="A74" s="211"/>
      <c r="B74" s="211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</row>
    <row r="75" spans="1:13" x14ac:dyDescent="0.2">
      <c r="A75" s="211"/>
      <c r="B75" s="211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</row>
    <row r="76" spans="1:13" x14ac:dyDescent="0.2">
      <c r="A76" s="211"/>
      <c r="B76" s="211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</row>
    <row r="77" spans="1:13" x14ac:dyDescent="0.2">
      <c r="A77" s="211"/>
      <c r="B77" s="211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</row>
    <row r="78" spans="1:13" x14ac:dyDescent="0.2">
      <c r="A78" s="211"/>
      <c r="B78" s="211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</row>
    <row r="79" spans="1:13" x14ac:dyDescent="0.2">
      <c r="A79" s="211"/>
      <c r="B79" s="211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</row>
    <row r="80" spans="1:13" x14ac:dyDescent="0.2">
      <c r="A80" s="211"/>
      <c r="B80" s="211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</row>
    <row r="81" spans="1:13" x14ac:dyDescent="0.2">
      <c r="A81" s="211"/>
      <c r="B81" s="211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</row>
    <row r="82" spans="1:13" x14ac:dyDescent="0.2">
      <c r="A82" s="211"/>
      <c r="B82" s="211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</row>
    <row r="83" spans="1:13" x14ac:dyDescent="0.2">
      <c r="A83" s="211"/>
      <c r="B83" s="211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</row>
    <row r="84" spans="1:13" x14ac:dyDescent="0.2">
      <c r="A84" s="211"/>
      <c r="B84" s="211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</row>
    <row r="85" spans="1:13" x14ac:dyDescent="0.2">
      <c r="A85" s="211"/>
      <c r="B85" s="211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</row>
    <row r="86" spans="1:13" x14ac:dyDescent="0.2">
      <c r="A86" s="211"/>
      <c r="B86" s="211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</row>
    <row r="87" spans="1:13" x14ac:dyDescent="0.2">
      <c r="A87" s="211"/>
      <c r="B87" s="211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</row>
    <row r="88" spans="1:13" x14ac:dyDescent="0.2">
      <c r="A88" s="211"/>
      <c r="B88" s="211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</row>
    <row r="89" spans="1:13" x14ac:dyDescent="0.2">
      <c r="A89" s="211"/>
      <c r="B89" s="211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</row>
    <row r="90" spans="1:13" x14ac:dyDescent="0.2">
      <c r="A90" s="211"/>
      <c r="B90" s="211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2012-10-10T13:59:11Z</cp:lastPrinted>
  <dcterms:created xsi:type="dcterms:W3CDTF">1997-12-04T19:04:30Z</dcterms:created>
  <dcterms:modified xsi:type="dcterms:W3CDTF">2012-11-27T15:03:56Z</dcterms:modified>
</cp:coreProperties>
</file>