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360" yWindow="195" windowWidth="16485" windowHeight="104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58" i="1" l="1"/>
  <c r="H13" i="1"/>
  <c r="H532" i="1"/>
  <c r="G532" i="1"/>
  <c r="H527" i="1"/>
  <c r="H522" i="1"/>
  <c r="G522" i="1"/>
  <c r="H233" i="1"/>
  <c r="J603" i="1"/>
  <c r="F472" i="1"/>
  <c r="J471" i="1"/>
  <c r="G471" i="1"/>
  <c r="F471" i="1"/>
  <c r="J467" i="1"/>
  <c r="G458" i="1"/>
  <c r="G47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C124" i="2" s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 s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E111" i="2" s="1"/>
  <c r="L318" i="1"/>
  <c r="C15" i="10" s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3" i="10"/>
  <c r="C21" i="10"/>
  <c r="L249" i="1"/>
  <c r="C112" i="2" s="1"/>
  <c r="L331" i="1"/>
  <c r="L253" i="1"/>
  <c r="C24" i="10" s="1"/>
  <c r="C25" i="10"/>
  <c r="L267" i="1"/>
  <c r="L268" i="1"/>
  <c r="L348" i="1"/>
  <c r="L349" i="1"/>
  <c r="I664" i="1"/>
  <c r="I669" i="1"/>
  <c r="L210" i="1"/>
  <c r="L228" i="1"/>
  <c r="F660" i="1"/>
  <c r="F661" i="1"/>
  <c r="G661" i="1"/>
  <c r="H661" i="1"/>
  <c r="I668" i="1"/>
  <c r="C5" i="10"/>
  <c r="C4" i="10"/>
  <c r="C4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11" i="2"/>
  <c r="E112" i="2"/>
  <c r="C113" i="2"/>
  <c r="E113" i="2"/>
  <c r="D114" i="2"/>
  <c r="F114" i="2"/>
  <c r="G114" i="2"/>
  <c r="C117" i="2"/>
  <c r="E118" i="2"/>
  <c r="C119" i="2"/>
  <c r="E119" i="2"/>
  <c r="C121" i="2"/>
  <c r="C122" i="2"/>
  <c r="C123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H50" i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F256" i="1" s="1"/>
  <c r="F270" i="1" s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I400" i="1"/>
  <c r="F406" i="1"/>
  <c r="G406" i="1"/>
  <c r="H406" i="1"/>
  <c r="I406" i="1"/>
  <c r="F407" i="1"/>
  <c r="G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F433" i="1" s="1"/>
  <c r="G432" i="1"/>
  <c r="H432" i="1"/>
  <c r="I432" i="1"/>
  <c r="J432" i="1"/>
  <c r="J433" i="1"/>
  <c r="F445" i="1"/>
  <c r="G445" i="1"/>
  <c r="G639" i="1" s="1"/>
  <c r="H445" i="1"/>
  <c r="I445" i="1"/>
  <c r="F451" i="1"/>
  <c r="G451" i="1"/>
  <c r="H451" i="1"/>
  <c r="F459" i="1"/>
  <c r="F460" i="1" s="1"/>
  <c r="H638" i="1" s="1"/>
  <c r="G459" i="1"/>
  <c r="H459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J619" i="1" s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G640" i="1"/>
  <c r="H640" i="1"/>
  <c r="G641" i="1"/>
  <c r="G642" i="1"/>
  <c r="H642" i="1"/>
  <c r="G643" i="1"/>
  <c r="H644" i="1"/>
  <c r="H646" i="1"/>
  <c r="G648" i="1"/>
  <c r="G649" i="1"/>
  <c r="H649" i="1"/>
  <c r="J649" i="1" s="1"/>
  <c r="G650" i="1"/>
  <c r="G651" i="1"/>
  <c r="J651" i="1" s="1"/>
  <c r="H651" i="1"/>
  <c r="G652" i="1"/>
  <c r="H652" i="1"/>
  <c r="G653" i="1"/>
  <c r="H653" i="1"/>
  <c r="H654" i="1"/>
  <c r="F191" i="1"/>
  <c r="K256" i="1"/>
  <c r="C26" i="10"/>
  <c r="L350" i="1"/>
  <c r="G8" i="2"/>
  <c r="C90" i="2"/>
  <c r="G162" i="2"/>
  <c r="D19" i="13"/>
  <c r="C19" i="13" s="1"/>
  <c r="D14" i="13"/>
  <c r="C14" i="13" s="1"/>
  <c r="J652" i="1" l="1"/>
  <c r="G570" i="1"/>
  <c r="H433" i="1"/>
  <c r="I433" i="1"/>
  <c r="H407" i="1"/>
  <c r="H643" i="1" s="1"/>
  <c r="I191" i="1"/>
  <c r="K433" i="1"/>
  <c r="G133" i="2" s="1"/>
  <c r="G143" i="2" s="1"/>
  <c r="G102" i="2"/>
  <c r="I661" i="1"/>
  <c r="E123" i="2"/>
  <c r="E121" i="2"/>
  <c r="F31" i="13"/>
  <c r="H660" i="1"/>
  <c r="C120" i="2"/>
  <c r="J648" i="1"/>
  <c r="C102" i="2"/>
  <c r="C69" i="2"/>
  <c r="L269" i="1"/>
  <c r="C32" i="10"/>
  <c r="E109" i="2"/>
  <c r="C11" i="10"/>
  <c r="G621" i="1"/>
  <c r="F544" i="1"/>
  <c r="K502" i="1"/>
  <c r="G158" i="2"/>
  <c r="K499" i="1"/>
  <c r="L246" i="1"/>
  <c r="C109" i="2"/>
  <c r="C114" i="2" s="1"/>
  <c r="G460" i="1"/>
  <c r="H639" i="1" s="1"/>
  <c r="I451" i="1"/>
  <c r="I662" i="1"/>
  <c r="I459" i="1"/>
  <c r="G433" i="1"/>
  <c r="G31" i="13"/>
  <c r="C19" i="10"/>
  <c r="E117" i="2"/>
  <c r="L327" i="1"/>
  <c r="C20" i="10"/>
  <c r="E124" i="2"/>
  <c r="E120" i="2"/>
  <c r="J337" i="1"/>
  <c r="J351" i="1" s="1"/>
  <c r="E110" i="2"/>
  <c r="E114" i="2" s="1"/>
  <c r="I337" i="1"/>
  <c r="I351" i="1" s="1"/>
  <c r="G660" i="1"/>
  <c r="I660" i="1" s="1"/>
  <c r="D29" i="13"/>
  <c r="C29" i="13" s="1"/>
  <c r="L361" i="1"/>
  <c r="C17" i="10"/>
  <c r="C18" i="10"/>
  <c r="E122" i="2"/>
  <c r="C16" i="10"/>
  <c r="K337" i="1"/>
  <c r="K351" i="1" s="1"/>
  <c r="L289" i="1"/>
  <c r="F659" i="1" s="1"/>
  <c r="F663" i="1" s="1"/>
  <c r="K270" i="1"/>
  <c r="G256" i="1"/>
  <c r="G270" i="1" s="1"/>
  <c r="L255" i="1"/>
  <c r="I256" i="1"/>
  <c r="I270" i="1" s="1"/>
  <c r="D12" i="13"/>
  <c r="C12" i="13" s="1"/>
  <c r="E8" i="13"/>
  <c r="C8" i="13" s="1"/>
  <c r="C118" i="2"/>
  <c r="C12" i="10"/>
  <c r="G644" i="1"/>
  <c r="J644" i="1" s="1"/>
  <c r="J653" i="1"/>
  <c r="D90" i="2"/>
  <c r="F139" i="1"/>
  <c r="E61" i="2"/>
  <c r="E62" i="2" s="1"/>
  <c r="F61" i="2"/>
  <c r="F62" i="2" s="1"/>
  <c r="C61" i="2"/>
  <c r="C62" i="2" s="1"/>
  <c r="E49" i="2"/>
  <c r="G51" i="1"/>
  <c r="H617" i="1" s="1"/>
  <c r="J617" i="1" s="1"/>
  <c r="H51" i="1"/>
  <c r="H618" i="1" s="1"/>
  <c r="J618" i="1" s="1"/>
  <c r="J616" i="1"/>
  <c r="G161" i="2"/>
  <c r="E143" i="2"/>
  <c r="D102" i="2"/>
  <c r="E102" i="2"/>
  <c r="F102" i="2"/>
  <c r="E90" i="2"/>
  <c r="D61" i="2"/>
  <c r="D62" i="2" s="1"/>
  <c r="D49" i="2"/>
  <c r="F31" i="2"/>
  <c r="D31" i="2"/>
  <c r="C18" i="2"/>
  <c r="E18" i="2"/>
  <c r="G61" i="2"/>
  <c r="A31" i="12"/>
  <c r="A40" i="12"/>
  <c r="D18" i="13"/>
  <c r="C18" i="13" s="1"/>
  <c r="D17" i="13"/>
  <c r="C17" i="13" s="1"/>
  <c r="D15" i="13"/>
  <c r="C15" i="13" s="1"/>
  <c r="D7" i="13"/>
  <c r="C7" i="13" s="1"/>
  <c r="D6" i="13"/>
  <c r="C6" i="13" s="1"/>
  <c r="E13" i="13"/>
  <c r="C13" i="13" s="1"/>
  <c r="F49" i="2"/>
  <c r="G144" i="2"/>
  <c r="D18" i="2"/>
  <c r="F90" i="2"/>
  <c r="C127" i="2"/>
  <c r="C77" i="2"/>
  <c r="E31" i="2"/>
  <c r="E50" i="2" s="1"/>
  <c r="C31" i="2"/>
  <c r="F77" i="2"/>
  <c r="F80" i="2" s="1"/>
  <c r="F18" i="2"/>
  <c r="G163" i="2"/>
  <c r="G160" i="2"/>
  <c r="G159" i="2"/>
  <c r="G157" i="2"/>
  <c r="G156" i="2"/>
  <c r="G155" i="2"/>
  <c r="F50" i="2"/>
  <c r="A22" i="12"/>
  <c r="G33" i="13"/>
  <c r="C80" i="2"/>
  <c r="E77" i="2"/>
  <c r="E80" i="2" s="1"/>
  <c r="L426" i="1"/>
  <c r="J256" i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J643" i="1"/>
  <c r="J642" i="1"/>
  <c r="J475" i="1"/>
  <c r="H625" i="1" s="1"/>
  <c r="H475" i="1"/>
  <c r="H623" i="1" s="1"/>
  <c r="J623" i="1" s="1"/>
  <c r="F475" i="1"/>
  <c r="H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J139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551" i="1"/>
  <c r="H551" i="1"/>
  <c r="C29" i="10"/>
  <c r="H139" i="1"/>
  <c r="L400" i="1"/>
  <c r="C138" i="2" s="1"/>
  <c r="L392" i="1"/>
  <c r="A13" i="12"/>
  <c r="F22" i="13"/>
  <c r="H25" i="13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F551" i="1"/>
  <c r="C35" i="10"/>
  <c r="L308" i="1"/>
  <c r="D5" i="13"/>
  <c r="E16" i="13"/>
  <c r="C49" i="2"/>
  <c r="C50" i="2" s="1"/>
  <c r="J654" i="1"/>
  <c r="J192" i="1"/>
  <c r="L569" i="1"/>
  <c r="I570" i="1"/>
  <c r="I544" i="1"/>
  <c r="J635" i="1"/>
  <c r="G36" i="2"/>
  <c r="G49" i="2" s="1"/>
  <c r="G50" i="2" s="1"/>
  <c r="J50" i="1"/>
  <c r="C39" i="10"/>
  <c r="L564" i="1"/>
  <c r="L570" i="1" s="1"/>
  <c r="G544" i="1"/>
  <c r="L544" i="1"/>
  <c r="H544" i="1"/>
  <c r="K550" i="1"/>
  <c r="K551" i="1" s="1"/>
  <c r="F143" i="2"/>
  <c r="F144" i="2" s="1"/>
  <c r="L433" i="1" l="1"/>
  <c r="G637" i="1" s="1"/>
  <c r="J637" i="1" s="1"/>
  <c r="E127" i="2"/>
  <c r="H659" i="1"/>
  <c r="H663" i="1" s="1"/>
  <c r="H666" i="1" s="1"/>
  <c r="J621" i="1"/>
  <c r="L256" i="1"/>
  <c r="L270" i="1" s="1"/>
  <c r="G631" i="1" s="1"/>
  <c r="J631" i="1" s="1"/>
  <c r="I460" i="1"/>
  <c r="H641" i="1" s="1"/>
  <c r="J641" i="1" s="1"/>
  <c r="H647" i="1"/>
  <c r="J647" i="1" s="1"/>
  <c r="E144" i="2"/>
  <c r="C27" i="10"/>
  <c r="C28" i="10" s="1"/>
  <c r="G634" i="1"/>
  <c r="J634" i="1" s="1"/>
  <c r="H671" i="1"/>
  <c r="C6" i="10" s="1"/>
  <c r="J270" i="1"/>
  <c r="F103" i="2"/>
  <c r="H192" i="1"/>
  <c r="G628" i="1" s="1"/>
  <c r="J628" i="1" s="1"/>
  <c r="C38" i="10"/>
  <c r="E103" i="2"/>
  <c r="C36" i="10"/>
  <c r="F192" i="1"/>
  <c r="G626" i="1" s="1"/>
  <c r="J626" i="1" s="1"/>
  <c r="C103" i="2"/>
  <c r="D50" i="2"/>
  <c r="D103" i="2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G630" i="1"/>
  <c r="J630" i="1" s="1"/>
  <c r="G645" i="1"/>
  <c r="G625" i="1"/>
  <c r="J51" i="1"/>
  <c r="H620" i="1" s="1"/>
  <c r="J620" i="1" s="1"/>
  <c r="D22" i="10" l="1"/>
  <c r="D24" i="10"/>
  <c r="D20" i="10"/>
  <c r="D27" i="10"/>
  <c r="D10" i="10"/>
  <c r="D19" i="10"/>
  <c r="D18" i="10"/>
  <c r="D13" i="10"/>
  <c r="D15" i="10"/>
  <c r="D12" i="10"/>
  <c r="D23" i="10"/>
  <c r="D26" i="10"/>
  <c r="C30" i="10"/>
  <c r="D25" i="10"/>
  <c r="D21" i="10"/>
  <c r="D16" i="10"/>
  <c r="D11" i="10"/>
  <c r="D17" i="10"/>
  <c r="C41" i="10"/>
  <c r="D39" i="10" s="1"/>
  <c r="G636" i="1"/>
  <c r="J636" i="1" s="1"/>
  <c r="H645" i="1"/>
  <c r="J645" i="1" s="1"/>
  <c r="D33" i="13"/>
  <c r="D36" i="13" s="1"/>
  <c r="G663" i="1"/>
  <c r="I659" i="1"/>
  <c r="I663" i="1" s="1"/>
  <c r="J625" i="1"/>
  <c r="H655" i="1"/>
  <c r="D35" i="10" l="1"/>
  <c r="D28" i="10"/>
  <c r="D37" i="10"/>
  <c r="D38" i="10"/>
  <c r="D40" i="10"/>
  <c r="D36" i="10"/>
  <c r="I666" i="1"/>
  <c r="I671" i="1"/>
  <c r="C7" i="10" s="1"/>
  <c r="G671" i="1"/>
  <c r="G666" i="1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<sst xmlns="http://schemas.openxmlformats.org/spreadsheetml/2006/main" count="3948" uniqueCount="914">
  <si>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</si>
  <si>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</si>
  <si>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</si>
  <si>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</si>
  <si>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</si>
  <si>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</si>
  <si>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</si>
  <si>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</si>
  <si>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</si>
  <si>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</si>
  <si>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</si>
  <si>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</si>
  <si>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</si>
  <si>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</si>
  <si>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</si>
  <si>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</si>
  <si>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</si>
  <si>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</si>
  <si>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</si>
  <si>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</si>
  <si>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</si>
  <si>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</si>
  <si>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</si>
  <si>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</si>
  <si>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</si>
  <si>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</si>
  <si>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</si>
  <si>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</si>
  <si>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</si>
  <si>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</si>
  <si>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</si>
  <si>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</si>
  <si>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</si>
  <si>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</si>
  <si>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</si>
  <si>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</si>
  <si>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</si>
  <si>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</si>
  <si>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</si>
  <si>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</si>
  <si>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</si>
  <si>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</si>
  <si>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</si>
  <si>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</si>
  <si>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</si>
  <si>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</si>
  <si>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</si>
  <si>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</si>
  <si>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</si>
  <si>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</si>
  <si>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</si>
  <si>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</si>
  <si>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</si>
  <si>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</si>
  <si>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</si>
  <si>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</si>
  <si>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</si>
  <si>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</si>
  <si>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</si>
  <si>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</si>
  <si>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</si>
  <si>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</si>
  <si>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</si>
  <si>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</si>
  <si>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</si>
  <si>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</si>
  <si>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</si>
  <si>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</si>
  <si>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</si>
  <si>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</si>
  <si>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</si>
  <si>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</si>
  <si>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</si>
  <si>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</si>
  <si>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</si>
  <si>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</si>
  <si>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</si>
  <si>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</si>
  <si>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</si>
  <si>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</si>
  <si>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</si>
  <si>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</si>
  <si>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</si>
  <si>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</si>
  <si>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</si>
  <si>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</si>
  <si>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</si>
  <si>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</si>
  <si>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</si>
  <si>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</si>
  <si>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</si>
  <si>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</si>
  <si>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</si>
  <si>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</si>
  <si>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</si>
  <si>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</si>
  <si>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</si>
  <si>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</si>
  <si>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</si>
  <si>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</si>
  <si>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</si>
  <si>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</si>
  <si>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</si>
  <si>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</si>
  <si>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</si>
  <si>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</si>
  <si>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</si>
  <si>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</si>
  <si>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</si>
  <si>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</si>
  <si>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</si>
  <si>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</si>
  <si>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</si>
  <si>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</si>
  <si>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</si>
  <si>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</si>
  <si>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</si>
  <si>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</si>
  <si>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</si>
  <si>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</si>
  <si>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</si>
  <si>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</si>
  <si>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</si>
  <si>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</si>
  <si>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</si>
  <si>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</si>
  <si>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</si>
  <si>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</si>
  <si>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</si>
  <si>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</si>
  <si>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</si>
  <si>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</si>
  <si>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</si>
  <si>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</si>
  <si>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</si>
  <si>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</si>
  <si>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</si>
  <si>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</si>
  <si>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</si>
  <si>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</si>
  <si>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</si>
  <si>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</si>
  <si>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</si>
  <si>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</si>
  <si>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</si>
  <si>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</si>
  <si>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</si>
  <si>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</si>
  <si>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</si>
  <si>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</si>
  <si>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</si>
  <si>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</si>
  <si>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</si>
  <si>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</si>
  <si>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</si>
  <si>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</si>
  <si>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</si>
  <si>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</si>
  <si>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</si>
  <si>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</si>
  <si>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</si>
  <si>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</si>
  <si>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</si>
  <si>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</si>
  <si>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</si>
  <si>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</si>
  <si>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</si>
  <si>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</si>
  <si>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</si>
  <si>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</si>
  <si>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</si>
  <si>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</si>
  <si>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</si>
  <si>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</si>
  <si>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</si>
  <si>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</si>
  <si>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</si>
  <si>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</si>
  <si>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</si>
  <si>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</si>
  <si>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</si>
  <si>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</si>
  <si>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</si>
  <si>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</si>
  <si>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</si>
  <si>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</si>
  <si>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</si>
  <si>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</si>
  <si>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</si>
  <si>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</si>
  <si>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</si>
  <si>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</si>
  <si>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</si>
  <si>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</si>
  <si>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</si>
  <si>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</si>
  <si>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</si>
  <si>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</si>
  <si>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</si>
  <si>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</si>
  <si>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</si>
  <si>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</si>
  <si>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</si>
  <si>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</si>
  <si>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</si>
  <si>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</si>
  <si>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</si>
  <si>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</si>
  <si>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</si>
  <si>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</si>
  <si>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</si>
  <si>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</si>
  <si>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</si>
  <si>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</si>
  <si>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</si>
  <si>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</si>
  <si>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</si>
  <si>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</si>
  <si>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</si>
  <si>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</si>
  <si>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</si>
  <si>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</si>
  <si>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</si>
  <si>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</si>
  <si>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</si>
  <si>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</si>
  <si>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</si>
  <si>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</si>
  <si>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</si>
  <si>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</si>
  <si>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</si>
  <si>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</si>
  <si>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</si>
  <si>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</si>
  <si>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</si>
  <si>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</si>
  <si>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</si>
  <si>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</si>
  <si>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</si>
  <si>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</si>
  <si>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</si>
  <si>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</si>
  <si>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</si>
  <si>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</si>
  <si>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</si>
  <si>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</si>
  <si>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</si>
  <si>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</si>
  <si>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</si>
  <si>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</si>
  <si>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</si>
  <si>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</si>
  <si>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</si>
  <si>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</si>
  <si>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</si>
  <si>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</si>
  <si>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</si>
  <si>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</si>
  <si>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</si>
  <si>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</si>
  <si>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</si>
  <si>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</si>
  <si>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</si>
  <si>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</si>
  <si>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</si>
  <si>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</si>
  <si>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</si>
  <si>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</si>
  <si>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</si>
  <si>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</si>
  <si>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</si>
  <si>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</si>
  <si>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</si>
  <si>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</si>
  <si>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</si>
  <si>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</si>
  <si>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</si>
  <si>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</si>
  <si>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</si>
  <si>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</si>
  <si>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</si>
  <si>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</si>
  <si>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</si>
  <si>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</si>
  <si>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</si>
  <si>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</si>
  <si>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</si>
  <si>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</si>
  <si>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</si>
  <si>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</si>
  <si>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</si>
  <si>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</si>
  <si>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</si>
  <si>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</si>
  <si>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</si>
  <si>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</si>
  <si>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</si>
  <si>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</si>
  <si>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</si>
  <si>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</si>
  <si>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</si>
  <si>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</si>
  <si>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</si>
  <si>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</si>
  <si>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</si>
  <si>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</si>
  <si>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</si>
  <si>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</si>
  <si>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</si>
  <si>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</si>
  <si>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</si>
  <si>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</si>
  <si>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</si>
  <si>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</si>
  <si>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</si>
  <si>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</si>
  <si>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</si>
  <si>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</si>
  <si>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</si>
  <si>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</si>
  <si>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</si>
  <si>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</si>
  <si>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</si>
  <si>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</si>
  <si>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</si>
  <si>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</si>
  <si>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</si>
  <si>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</si>
  <si>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</si>
  <si>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</si>
  <si>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</si>
  <si>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</si>
  <si>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</si>
  <si>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</si>
  <si>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</si>
  <si>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</si>
  <si>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</si>
  <si>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</si>
  <si>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</si>
  <si>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</si>
  <si>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</si>
  <si>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</si>
  <si>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</si>
  <si>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</si>
  <si>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</si>
  <si>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</si>
  <si>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</si>
  <si>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</si>
  <si>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</si>
  <si>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</si>
  <si>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</si>
  <si>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</si>
  <si>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</si>
  <si>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</si>
  <si>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</si>
  <si>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</si>
  <si>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</si>
  <si>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</si>
  <si>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</si>
  <si>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</si>
  <si>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</si>
  <si>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</si>
  <si>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</si>
  <si>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</si>
  <si>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</si>
  <si>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</si>
  <si>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</si>
  <si>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</si>
  <si>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</si>
  <si>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</si>
  <si>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</si>
  <si>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</si>
  <si>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</si>
  <si>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</si>
  <si>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</si>
  <si>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</si>
  <si>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</si>
  <si>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</si>
  <si>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</si>
  <si>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</si>
  <si>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</si>
  <si>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</si>
  <si>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</si>
  <si>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</si>
  <si>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</si>
  <si>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</si>
  <si>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</si>
  <si>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</si>
  <si>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</si>
  <si>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</si>
  <si>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</si>
  <si>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</si>
  <si>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</si>
  <si>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</si>
  <si>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</si>
  <si>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</si>
  <si>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</si>
  <si>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</si>
  <si>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</si>
  <si>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</si>
  <si>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</si>
  <si>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</si>
  <si>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</si>
  <si>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</si>
  <si>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</si>
  <si>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</si>
  <si>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</si>
  <si>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</si>
  <si>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</si>
  <si>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</si>
  <si>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</si>
  <si>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</si>
  <si>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</si>
  <si>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</si>
  <si>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</si>
  <si>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</si>
  <si>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</si>
  <si>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</si>
  <si>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</si>
  <si>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</si>
  <si>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</si>
  <si>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</si>
  <si>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</si>
  <si>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</si>
  <si>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</si>
  <si>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</si>
  <si>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</si>
  <si>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</si>
  <si>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</si>
  <si>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</si>
  <si>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</si>
  <si>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</si>
  <si>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</si>
  <si>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</si>
  <si>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</si>
  <si>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</si>
  <si>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</si>
  <si>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</si>
  <si>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</si>
  <si>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</si>
  <si>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</si>
  <si>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</si>
  <si>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</si>
  <si>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</si>
  <si>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</si>
  <si>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</si>
  <si>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</si>
  <si>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</si>
  <si>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</si>
  <si>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</si>
  <si>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</si>
  <si>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</si>
  <si>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</si>
  <si>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</si>
  <si>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</si>
  <si>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</si>
  <si>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</si>
  <si>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</si>
  <si>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</si>
  <si>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</si>
  <si>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</si>
  <si>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</si>
  <si>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</si>
  <si>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</si>
  <si>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</si>
  <si>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</si>
  <si>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</si>
  <si>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</si>
  <si>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</si>
  <si>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</si>
  <si>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</si>
  <si>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</si>
  <si>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</si>
  <si>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</si>
  <si>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</si>
  <si>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</si>
  <si>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</si>
  <si>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</si>
  <si>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</si>
  <si>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</si>
  <si>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</si>
  <si>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</si>
  <si>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</si>
  <si>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</si>
  <si>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</si>
  <si>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</si>
  <si>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</si>
  <si>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</si>
  <si>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</si>
  <si>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</si>
  <si>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</si>
  <si>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</si>
  <si>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</si>
  <si>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</si>
  <si>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</si>
  <si>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</si>
  <si>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</si>
  <si>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</si>
  <si>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</si>
  <si>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</si>
  <si>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</si>
  <si>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</si>
  <si>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</si>
  <si>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</si>
  <si>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</si>
  <si>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</si>
  <si>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</si>
  <si>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</si>
  <si>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</si>
  <si>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</si>
  <si>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</si>
  <si>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</si>
  <si>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</si>
  <si>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</si>
  <si>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</si>
  <si>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</si>
  <si>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</si>
  <si>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</si>
  <si>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</si>
  <si>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</si>
  <si>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</si>
  <si>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</si>
  <si>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</si>
  <si>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</si>
  <si>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</si>
  <si>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</si>
  <si>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</si>
  <si>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</si>
  <si>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</si>
  <si>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</si>
  <si>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</si>
  <si>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</si>
  <si>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</si>
  <si>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</si>
  <si>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</si>
  <si>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</si>
  <si>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</si>
  <si>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</si>
  <si>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</si>
  <si>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</si>
  <si>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</si>
  <si>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</si>
  <si>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</si>
  <si>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</si>
  <si>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</si>
  <si>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</si>
  <si>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</si>
  <si>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</si>
  <si>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</si>
  <si>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</si>
  <si>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</si>
  <si>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</si>
  <si>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</si>
  <si>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</si>
  <si>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</si>
  <si>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</si>
  <si>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</si>
  <si>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</si>
  <si>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</si>
  <si>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</si>
  <si>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</si>
  <si>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</si>
  <si>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</si>
  <si>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</si>
  <si>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</si>
  <si>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</si>
  <si>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</si>
  <si>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</si>
  <si>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</si>
  <si>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</si>
  <si>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</si>
  <si>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</si>
  <si>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</si>
  <si>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</si>
  <si>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</si>
  <si>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</si>
  <si>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</si>
  <si>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</si>
  <si>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</si>
  <si>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</si>
  <si>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</si>
  <si>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</si>
  <si>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</si>
  <si>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</si>
  <si>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</si>
  <si>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</si>
  <si>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</si>
  <si>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</si>
  <si>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</si>
  <si>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</si>
  <si>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</si>
  <si>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</si>
  <si>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</si>
  <si>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</si>
  <si>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</si>
  <si>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</si>
  <si>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</si>
  <si>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</si>
  <si>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</si>
  <si>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</si>
  <si>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</si>
  <si>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</si>
  <si>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</si>
  <si>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</si>
  <si>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</si>
  <si>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</si>
  <si>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</si>
  <si>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</si>
  <si>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</si>
  <si>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</si>
  <si>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</si>
  <si>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</si>
  <si>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</si>
  <si>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</si>
  <si>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</si>
  <si>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</si>
  <si>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</si>
  <si>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</si>
  <si>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</si>
  <si>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</si>
  <si>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</si>
  <si>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</si>
  <si>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</si>
  <si>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</si>
  <si>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</si>
  <si>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</si>
  <si>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</si>
  <si>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</si>
  <si>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</si>
  <si>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</si>
  <si>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</si>
  <si>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</si>
  <si>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</si>
  <si>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</si>
  <si>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</si>
  <si>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</si>
  <si>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</si>
  <si>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</si>
  <si>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</si>
  <si>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</si>
  <si>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</si>
  <si>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</si>
  <si>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</si>
  <si>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</si>
  <si>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</si>
  <si>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</si>
  <si>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</si>
  <si>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</si>
  <si>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</si>
  <si>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</si>
  <si>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</si>
  <si>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</si>
  <si>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</si>
  <si>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</si>
  <si>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</si>
  <si>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</si>
  <si>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</si>
  <si>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</si>
  <si>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</si>
  <si>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</si>
  <si>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</si>
  <si>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</si>
  <si>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</si>
  <si>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</si>
  <si>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</si>
  <si>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</si>
  <si>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</si>
  <si>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</si>
  <si>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</si>
  <si>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</si>
  <si>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</si>
  <si>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</si>
  <si>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</si>
  <si>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</si>
  <si>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</si>
  <si>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</si>
  <si>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</si>
  <si>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</si>
  <si>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</si>
  <si>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</si>
  <si>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</si>
  <si>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</si>
  <si>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</si>
  <si>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</si>
  <si>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</si>
  <si>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</si>
  <si>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</si>
  <si>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</si>
  <si>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</si>
  <si>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</si>
  <si>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</si>
  <si>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</si>
  <si>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</si>
  <si>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</si>
  <si>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</si>
  <si>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</si>
  <si>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</si>
  <si>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</si>
  <si>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</si>
  <si>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</si>
  <si>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</si>
  <si>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</si>
  <si>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</si>
  <si>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</si>
  <si>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</si>
  <si>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</si>
  <si>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</si>
  <si>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</si>
  <si>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</si>
  <si>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</si>
  <si>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</si>
  <si>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</si>
  <si>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</si>
  <si>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</si>
  <si>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</si>
  <si>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</si>
  <si>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</si>
  <si>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</si>
  <si>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</si>
  <si>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</si>
  <si>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</si>
  <si>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</si>
  <si>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</si>
  <si>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</si>
  <si>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</si>
  <si>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</si>
  <si>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</si>
  <si>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</si>
  <si>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</si>
  <si>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</si>
  <si>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</si>
  <si>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</si>
  <si>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</si>
  <si>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</si>
  <si>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</si>
  <si>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</si>
  <si>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</si>
  <si>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</si>
  <si>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</si>
  <si>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</si>
  <si>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</si>
  <si>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</si>
  <si>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</si>
  <si>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</si>
  <si>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</si>
  <si>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</si>
  <si>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</si>
  <si>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</si>
  <si>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</si>
  <si>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</si>
  <si>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</si>
  <si>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</si>
  <si>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</si>
  <si>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</si>
  <si>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</si>
  <si>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</si>
  <si>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</si>
  <si>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</si>
  <si>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</si>
  <si>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</si>
  <si>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</si>
  <si>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</si>
  <si>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</si>
  <si>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</si>
  <si>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</si>
  <si>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</si>
  <si>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</si>
  <si>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</si>
  <si>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</si>
  <si>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</si>
  <si>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</si>
  <si>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</si>
  <si>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</si>
  <si>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</si>
  <si>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</si>
  <si>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</si>
  <si>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</si>
  <si>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</si>
  <si>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</si>
  <si>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</si>
  <si>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</si>
  <si>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</si>
  <si>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</si>
  <si>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</si>
  <si>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</si>
  <si>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</si>
  <si>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</si>
  <si>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</si>
  <si>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</si>
  <si>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</si>
  <si>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</si>
  <si>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</si>
  <si>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</si>
  <si>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</si>
  <si>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</si>
  <si>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</si>
  <si>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</si>
  <si>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</si>
  <si>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</si>
  <si>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</si>
  <si>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</si>
  <si>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</si>
  <si>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</si>
  <si>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</si>
  <si>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</si>
  <si>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</si>
  <si>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</si>
  <si>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</si>
  <si>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</si>
  <si>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</si>
  <si>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</si>
  <si>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</si>
  <si>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</si>
  <si>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</si>
  <si>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</si>
  <si>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</si>
  <si>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</si>
  <si>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</si>
  <si>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</si>
  <si>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</si>
  <si>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</si>
  <si>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</si>
  <si>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</si>
  <si>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</si>
  <si>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</si>
  <si>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</si>
  <si>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</si>
  <si>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</si>
  <si>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</si>
  <si>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</si>
  <si>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</si>
  <si>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</si>
  <si>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</si>
  <si>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</si>
  <si>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</si>
  <si>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</si>
  <si>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</si>
  <si>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</si>
  <si>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</si>
  <si>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</si>
  <si>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</si>
  <si>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</si>
  <si>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</si>
  <si>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</si>
  <si>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</si>
  <si>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</si>
  <si>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</si>
  <si>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</si>
  <si>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</si>
  <si>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</si>
  <si>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</si>
  <si>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</si>
  <si>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</si>
  <si>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</si>
  <si>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</si>
  <si>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</si>
  <si>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</si>
  <si>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</si>
  <si>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</si>
  <si>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</si>
  <si>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</si>
  <si>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</si>
  <si>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</si>
  <si>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</si>
  <si>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</si>
  <si>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</si>
  <si>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</si>
  <si>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</si>
  <si>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</si>
  <si>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</si>
  <si>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</si>
  <si>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</si>
  <si>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</si>
  <si>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</si>
  <si>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</si>
  <si>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</si>
  <si>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</si>
  <si>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</si>
  <si>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</si>
  <si>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</si>
  <si>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</si>
  <si>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</si>
  <si>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</si>
  <si>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</si>
  <si>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</si>
  <si>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</si>
  <si>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</si>
  <si>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</si>
  <si>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</si>
  <si>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</si>
  <si>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</si>
  <si>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</si>
  <si>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</si>
  <si>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</si>
  <si>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</si>
  <si>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</si>
  <si>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</si>
  <si>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</si>
  <si>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</si>
  <si>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</si>
  <si>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</si>
  <si>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</si>
  <si>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</si>
  <si>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</si>
  <si>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</si>
  <si>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</si>
  <si>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</si>
  <si>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</si>
  <si>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</si>
  <si>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AGENCY FUNDS</t>
  </si>
  <si>
    <t>Audit Adjustments - FY 11</t>
  </si>
  <si>
    <t>06/02</t>
  </si>
  <si>
    <t>07/12</t>
  </si>
  <si>
    <t>Souhegan 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</si>
</sst>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  <family val="2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913</v>
      </c>
      <c r="B2" s="21">
        <v>493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158136.48000000001</v>
      </c>
      <c r="G9" s="18">
        <v>0</v>
      </c>
      <c r="H9" s="18">
        <v>0</v>
      </c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85432.88</v>
      </c>
      <c r="G10" s="18">
        <v>0</v>
      </c>
      <c r="H10" s="18">
        <v>0</v>
      </c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67016.61</v>
      </c>
      <c r="G12" s="18">
        <v>6236.63</v>
      </c>
      <c r="H12" s="18">
        <v>0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9561.68</v>
      </c>
      <c r="G13" s="18">
        <v>1650.21</v>
      </c>
      <c r="H13" s="18">
        <f>91862.3+123</f>
        <v>91985.3</v>
      </c>
      <c r="I13" s="18"/>
      <c r="J13" s="67">
        <f>SUM(I441)</f>
        <v>438702.75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750</v>
      </c>
      <c r="G14" s="18">
        <v>0</v>
      </c>
      <c r="H14" s="18">
        <v>0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690.32</v>
      </c>
      <c r="G17" s="18">
        <v>0</v>
      </c>
      <c r="H17" s="18">
        <v>0</v>
      </c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321587.97000000003</v>
      </c>
      <c r="G19" s="41">
        <f>SUM(G9:G18)</f>
        <v>7886.84</v>
      </c>
      <c r="H19" s="41">
        <f>SUM(H9:H18)</f>
        <v>91985.3</v>
      </c>
      <c r="I19" s="41">
        <f>SUM(I9:I18)</f>
        <v>0</v>
      </c>
      <c r="J19" s="41">
        <f>SUM(J9:J18)</f>
        <v>438702.75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70275.490000000005</v>
      </c>
      <c r="I22" s="18"/>
      <c r="J22" s="67">
        <f>SUM(I447)</f>
        <v>2977.75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13195.19</v>
      </c>
      <c r="G23" s="18">
        <v>9508.42</v>
      </c>
      <c r="H23" s="18">
        <v>0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27415.34</v>
      </c>
      <c r="G24" s="18">
        <v>288.95</v>
      </c>
      <c r="H24" s="18">
        <v>4300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4440.1400000000003</v>
      </c>
      <c r="G28" s="18">
        <v>0</v>
      </c>
      <c r="H28" s="18">
        <v>0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17825.46</v>
      </c>
      <c r="G29" s="18">
        <v>0</v>
      </c>
      <c r="H29" s="18">
        <v>0</v>
      </c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36967.480000000003</v>
      </c>
      <c r="G30" s="18">
        <v>235</v>
      </c>
      <c r="H30" s="18">
        <v>17409.810000000001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44.19</v>
      </c>
      <c r="G31" s="18">
        <v>0</v>
      </c>
      <c r="H31" s="18">
        <v>0</v>
      </c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99887.8</v>
      </c>
      <c r="G32" s="41">
        <f>SUM(G22:G31)</f>
        <v>10032.370000000001</v>
      </c>
      <c r="H32" s="41">
        <f>SUM(H22:H31)</f>
        <v>91985.3</v>
      </c>
      <c r="I32" s="41">
        <f>SUM(I22:I31)</f>
        <v>0</v>
      </c>
      <c r="J32" s="41">
        <f>SUM(J22:J31)</f>
        <v>2977.75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65000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59.05</v>
      </c>
      <c r="G47" s="18">
        <f>-1025-1845.1-300.43</f>
        <v>-3170.5299999999997</v>
      </c>
      <c r="H47" s="18"/>
      <c r="I47" s="18"/>
      <c r="J47" s="13">
        <f>SUM(I458)</f>
        <v>435725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77422.69</v>
      </c>
      <c r="G48" s="18">
        <v>1025</v>
      </c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79218.429999999993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221700.16999999998</v>
      </c>
      <c r="G50" s="41">
        <f>SUM(G35:G49)</f>
        <v>-2145.5299999999997</v>
      </c>
      <c r="H50" s="41">
        <f>SUM(H35:H49)</f>
        <v>0</v>
      </c>
      <c r="I50" s="41">
        <f>SUM(I35:I49)</f>
        <v>0</v>
      </c>
      <c r="J50" s="41">
        <f>SUM(J35:J49)</f>
        <v>435725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321587.96999999997</v>
      </c>
      <c r="G51" s="41">
        <f>G50+G32</f>
        <v>7886.8400000000011</v>
      </c>
      <c r="H51" s="41">
        <f>H50+H32</f>
        <v>91985.3</v>
      </c>
      <c r="I51" s="41">
        <f>I50+I32</f>
        <v>0</v>
      </c>
      <c r="J51" s="41">
        <f>J50+J32</f>
        <v>438702.75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12690940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12690940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34032.639999999999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1350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13434.25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5083.5600000000004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53900.45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3214.48</v>
      </c>
      <c r="G95" s="18"/>
      <c r="H95" s="18"/>
      <c r="I95" s="18"/>
      <c r="J95" s="18">
        <v>222.06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378867.95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156715.63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7306.65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7178.04</v>
      </c>
      <c r="G101" s="18"/>
      <c r="H101" s="18">
        <v>6570.07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>
        <v>2100</v>
      </c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4011.88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1803.39</v>
      </c>
      <c r="G108" s="18">
        <v>5.07</v>
      </c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2068.4499999999998</v>
      </c>
      <c r="G109" s="18">
        <v>3450.28</v>
      </c>
      <c r="H109" s="18"/>
      <c r="I109" s="18"/>
      <c r="J109" s="18">
        <v>14567.98</v>
      </c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182298.52000000005</v>
      </c>
      <c r="G110" s="41">
        <f>SUM(G95:G109)</f>
        <v>384423.30000000005</v>
      </c>
      <c r="H110" s="41">
        <f>SUM(H95:H109)</f>
        <v>6570.07</v>
      </c>
      <c r="I110" s="41">
        <f>SUM(I95:I109)</f>
        <v>0</v>
      </c>
      <c r="J110" s="41">
        <f>SUM(J95:J109)</f>
        <v>14790.039999999999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12927138.969999999</v>
      </c>
      <c r="G111" s="41">
        <f>G59+G110</f>
        <v>384423.30000000005</v>
      </c>
      <c r="H111" s="41">
        <f>H59+H78+H93+H110</f>
        <v>6570.07</v>
      </c>
      <c r="I111" s="41">
        <f>I59+I110</f>
        <v>0</v>
      </c>
      <c r="J111" s="41">
        <f>J59+J110</f>
        <v>14790.039999999999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2029220.82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1584762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1758.18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15659.6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3631400.6000000006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303650.27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368963.76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1826.74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1256.8499999999999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674440.77</v>
      </c>
      <c r="G135" s="41">
        <f>SUM(G122:G134)</f>
        <v>1256.8499999999999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4305841.370000001</v>
      </c>
      <c r="G139" s="41">
        <f>G120+SUM(G135:G136)</f>
        <v>1256.8499999999999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11059.54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30597.09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39949.410000000003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221159.67+123</f>
        <v>221282.67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63471.07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78805.070000000007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142276.14000000001</v>
      </c>
      <c r="G161" s="41">
        <f>SUM(G149:G160)</f>
        <v>39949.410000000003</v>
      </c>
      <c r="H161" s="41">
        <f>SUM(H149:H160)</f>
        <v>262939.30000000005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142276.14000000001</v>
      </c>
      <c r="G168" s="41">
        <f>G146+G161+SUM(G162:G167)</f>
        <v>39949.410000000003</v>
      </c>
      <c r="H168" s="41">
        <f>H146+H161+SUM(H162:H167)</f>
        <v>262939.30000000005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15000</v>
      </c>
      <c r="H178" s="18"/>
      <c r="I178" s="18"/>
      <c r="J178" s="18">
        <v>65000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15000</v>
      </c>
      <c r="H182" s="41">
        <f>SUM(H178:H181)</f>
        <v>0</v>
      </c>
      <c r="I182" s="41">
        <f>SUM(I178:I181)</f>
        <v>0</v>
      </c>
      <c r="J182" s="41">
        <f>SUM(J178:J181)</f>
        <v>65000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15000</v>
      </c>
      <c r="H191" s="41">
        <f>+H182+SUM(H187:H190)</f>
        <v>0</v>
      </c>
      <c r="I191" s="41">
        <f>I176+I182+SUM(I187:I190)</f>
        <v>0</v>
      </c>
      <c r="J191" s="41">
        <f>J182</f>
        <v>65000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17375256.48</v>
      </c>
      <c r="G192" s="47">
        <f>G111+G139+G168+G191</f>
        <v>440629.56000000006</v>
      </c>
      <c r="H192" s="47">
        <f>H111+H139+H168+H191</f>
        <v>269509.37000000005</v>
      </c>
      <c r="I192" s="47">
        <f>I111+I139+I168+I191</f>
        <v>0</v>
      </c>
      <c r="J192" s="47">
        <f>J111+J139+J191</f>
        <v>79790.039999999994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/>
      <c r="I196" s="18"/>
      <c r="J196" s="18"/>
      <c r="K196" s="18"/>
      <c r="L196" s="19">
        <f>SUM(F196:K196)</f>
        <v>0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/>
      <c r="I197" s="18"/>
      <c r="J197" s="18"/>
      <c r="K197" s="18"/>
      <c r="L197" s="19">
        <f>SUM(F197:K197)</f>
        <v>0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/>
      <c r="I201" s="18"/>
      <c r="J201" s="18"/>
      <c r="K201" s="18"/>
      <c r="L201" s="19">
        <f t="shared" ref="L201:L207" si="0">SUM(F201:K201)</f>
        <v>0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0</v>
      </c>
      <c r="G210" s="41">
        <f t="shared" si="1"/>
        <v>0</v>
      </c>
      <c r="H210" s="41">
        <f t="shared" si="1"/>
        <v>0</v>
      </c>
      <c r="I210" s="41">
        <f t="shared" si="1"/>
        <v>0</v>
      </c>
      <c r="J210" s="41">
        <f t="shared" si="1"/>
        <v>0</v>
      </c>
      <c r="K210" s="41">
        <f t="shared" si="1"/>
        <v>0</v>
      </c>
      <c r="L210" s="41">
        <f t="shared" si="1"/>
        <v>0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5303527.16</v>
      </c>
      <c r="G232" s="18">
        <v>1851523.79</v>
      </c>
      <c r="H232" s="18">
        <v>47408.07</v>
      </c>
      <c r="I232" s="18">
        <v>150287.18</v>
      </c>
      <c r="J232" s="18">
        <v>90288.58</v>
      </c>
      <c r="K232" s="18">
        <v>2173.9499999999998</v>
      </c>
      <c r="L232" s="19">
        <f>SUM(F232:K232)</f>
        <v>7445208.7300000004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1712568.76</v>
      </c>
      <c r="G233" s="18">
        <v>656624.93999999994</v>
      </c>
      <c r="H233" s="18">
        <f>974681.63+2475.99</f>
        <v>977157.62</v>
      </c>
      <c r="I233" s="18">
        <v>10223.98</v>
      </c>
      <c r="J233" s="18">
        <v>11919.06</v>
      </c>
      <c r="K233" s="18">
        <v>250</v>
      </c>
      <c r="L233" s="19">
        <f>SUM(F233:K233)</f>
        <v>3368744.3600000003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184550.95</v>
      </c>
      <c r="G235" s="18">
        <v>21374.05</v>
      </c>
      <c r="H235" s="18">
        <v>130641.33</v>
      </c>
      <c r="I235" s="18">
        <v>78152.740000000005</v>
      </c>
      <c r="J235" s="18">
        <v>0</v>
      </c>
      <c r="K235" s="18">
        <v>33801.33</v>
      </c>
      <c r="L235" s="19">
        <f>SUM(F235:K235)</f>
        <v>448520.4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652765.04</v>
      </c>
      <c r="G237" s="18">
        <v>234294.13</v>
      </c>
      <c r="H237" s="18">
        <v>99001.04</v>
      </c>
      <c r="I237" s="18">
        <v>9909.1200000000008</v>
      </c>
      <c r="J237" s="18">
        <v>0</v>
      </c>
      <c r="K237" s="18">
        <v>0</v>
      </c>
      <c r="L237" s="19">
        <f t="shared" ref="L237:L243" si="4">SUM(F237:K237)</f>
        <v>995969.33000000007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270244.21999999997</v>
      </c>
      <c r="G238" s="18">
        <v>159472.14000000001</v>
      </c>
      <c r="H238" s="18">
        <v>11733.28</v>
      </c>
      <c r="I238" s="18">
        <v>60631.74</v>
      </c>
      <c r="J238" s="18">
        <v>407.07</v>
      </c>
      <c r="K238" s="18">
        <v>0</v>
      </c>
      <c r="L238" s="19">
        <f t="shared" si="4"/>
        <v>502488.45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8630.48</v>
      </c>
      <c r="G239" s="18">
        <v>584.25</v>
      </c>
      <c r="H239" s="18">
        <v>728042.06</v>
      </c>
      <c r="I239" s="18">
        <v>696.53</v>
      </c>
      <c r="J239" s="18">
        <v>0</v>
      </c>
      <c r="K239" s="18">
        <v>4490.88</v>
      </c>
      <c r="L239" s="19">
        <f t="shared" si="4"/>
        <v>742444.20000000007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516648.55</v>
      </c>
      <c r="G240" s="18">
        <v>184172.54</v>
      </c>
      <c r="H240" s="18">
        <v>37003.75</v>
      </c>
      <c r="I240" s="18">
        <v>9374.65</v>
      </c>
      <c r="J240" s="18">
        <v>61643.4</v>
      </c>
      <c r="K240" s="18">
        <v>12331.32</v>
      </c>
      <c r="L240" s="19">
        <f t="shared" si="4"/>
        <v>821174.21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2908.5</v>
      </c>
      <c r="I241" s="18">
        <v>0</v>
      </c>
      <c r="J241" s="18">
        <v>0</v>
      </c>
      <c r="K241" s="18">
        <v>0</v>
      </c>
      <c r="L241" s="19">
        <f t="shared" si="4"/>
        <v>2908.5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407446.65</v>
      </c>
      <c r="G242" s="18">
        <v>148916.10999999999</v>
      </c>
      <c r="H242" s="18">
        <v>510943.98</v>
      </c>
      <c r="I242" s="18">
        <v>335428.03999999998</v>
      </c>
      <c r="J242" s="18">
        <v>6098.02</v>
      </c>
      <c r="K242" s="18">
        <v>206</v>
      </c>
      <c r="L242" s="19">
        <f t="shared" si="4"/>
        <v>1409038.8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582574.5</v>
      </c>
      <c r="I243" s="18">
        <v>0</v>
      </c>
      <c r="J243" s="18">
        <v>0</v>
      </c>
      <c r="K243" s="18">
        <v>0</v>
      </c>
      <c r="L243" s="19">
        <f t="shared" si="4"/>
        <v>582574.5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166207</v>
      </c>
      <c r="G244" s="18">
        <v>31378.61</v>
      </c>
      <c r="H244" s="18">
        <v>21834.69</v>
      </c>
      <c r="I244" s="18">
        <v>16294.61</v>
      </c>
      <c r="J244" s="18">
        <v>53779.66</v>
      </c>
      <c r="K244" s="18">
        <v>0</v>
      </c>
      <c r="L244" s="19">
        <f>SUM(F244:K244)</f>
        <v>289494.56999999995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9222588.8100000005</v>
      </c>
      <c r="G246" s="41">
        <f t="shared" si="5"/>
        <v>3288340.5599999996</v>
      </c>
      <c r="H246" s="41">
        <f t="shared" si="5"/>
        <v>3149248.82</v>
      </c>
      <c r="I246" s="41">
        <f t="shared" si="5"/>
        <v>670998.59</v>
      </c>
      <c r="J246" s="41">
        <f t="shared" si="5"/>
        <v>224135.79</v>
      </c>
      <c r="K246" s="41">
        <f t="shared" si="5"/>
        <v>53253.479999999996</v>
      </c>
      <c r="L246" s="41">
        <f t="shared" si="5"/>
        <v>16608566.050000001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10365</v>
      </c>
      <c r="G250" s="18">
        <v>922.4</v>
      </c>
      <c r="H250" s="18">
        <v>300</v>
      </c>
      <c r="I250" s="18">
        <v>0</v>
      </c>
      <c r="J250" s="18">
        <v>0</v>
      </c>
      <c r="K250" s="18">
        <v>0</v>
      </c>
      <c r="L250" s="19">
        <f t="shared" si="6"/>
        <v>11587.4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10365</v>
      </c>
      <c r="G255" s="41">
        <f t="shared" si="7"/>
        <v>922.4</v>
      </c>
      <c r="H255" s="41">
        <f t="shared" si="7"/>
        <v>300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11587.4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9232953.8100000005</v>
      </c>
      <c r="G256" s="41">
        <f t="shared" si="8"/>
        <v>3289262.9599999995</v>
      </c>
      <c r="H256" s="41">
        <f t="shared" si="8"/>
        <v>3149548.82</v>
      </c>
      <c r="I256" s="41">
        <f t="shared" si="8"/>
        <v>670998.59</v>
      </c>
      <c r="J256" s="41">
        <f t="shared" si="8"/>
        <v>224135.79</v>
      </c>
      <c r="K256" s="41">
        <f t="shared" si="8"/>
        <v>53253.479999999996</v>
      </c>
      <c r="L256" s="41">
        <f t="shared" si="8"/>
        <v>16620153.450000001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672846</v>
      </c>
      <c r="L259" s="19">
        <f>SUM(F259:K259)</f>
        <v>672846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380718.33</v>
      </c>
      <c r="L260" s="19">
        <f>SUM(F260:K260)</f>
        <v>380718.33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15000</v>
      </c>
      <c r="L262" s="19">
        <f>SUM(F262:K262)</f>
        <v>15000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65000</v>
      </c>
      <c r="L265" s="19">
        <f t="shared" si="9"/>
        <v>65000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1133564.33</v>
      </c>
      <c r="L269" s="41">
        <f t="shared" si="9"/>
        <v>1133564.33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9232953.8100000005</v>
      </c>
      <c r="G270" s="42">
        <f t="shared" si="11"/>
        <v>3289262.9599999995</v>
      </c>
      <c r="H270" s="42">
        <f t="shared" si="11"/>
        <v>3149548.82</v>
      </c>
      <c r="I270" s="42">
        <f t="shared" si="11"/>
        <v>670998.59</v>
      </c>
      <c r="J270" s="42">
        <f t="shared" si="11"/>
        <v>224135.79</v>
      </c>
      <c r="K270" s="42">
        <f t="shared" si="11"/>
        <v>1186817.81</v>
      </c>
      <c r="L270" s="42">
        <f t="shared" si="11"/>
        <v>17753717.780000001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6456.97</v>
      </c>
      <c r="G313" s="18">
        <v>945.94</v>
      </c>
      <c r="H313" s="18">
        <v>4.62</v>
      </c>
      <c r="I313" s="18">
        <v>3660.3</v>
      </c>
      <c r="J313" s="18">
        <v>0</v>
      </c>
      <c r="K313" s="18">
        <v>0</v>
      </c>
      <c r="L313" s="19">
        <f>SUM(F313:K313)</f>
        <v>11067.83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126917.67</v>
      </c>
      <c r="G314" s="18">
        <v>22893.03</v>
      </c>
      <c r="H314" s="18">
        <v>15448.49</v>
      </c>
      <c r="I314" s="18">
        <v>13213.16</v>
      </c>
      <c r="J314" s="18">
        <v>28546.83</v>
      </c>
      <c r="K314" s="18">
        <v>0</v>
      </c>
      <c r="L314" s="19">
        <f>SUM(F314:K314)</f>
        <v>207019.18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262.5</v>
      </c>
      <c r="G318" s="18">
        <v>49.42</v>
      </c>
      <c r="H318" s="18">
        <v>122.5</v>
      </c>
      <c r="I318" s="18">
        <v>1135.6500000000001</v>
      </c>
      <c r="J318" s="18">
        <v>0</v>
      </c>
      <c r="K318" s="18">
        <v>0</v>
      </c>
      <c r="L318" s="19">
        <f t="shared" ref="L318:L324" si="16">SUM(F318:K318)</f>
        <v>1570.0700000000002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14779.58</v>
      </c>
      <c r="G319" s="18">
        <v>2215.83</v>
      </c>
      <c r="H319" s="18">
        <v>32766.61</v>
      </c>
      <c r="I319" s="18">
        <v>90.27</v>
      </c>
      <c r="J319" s="18">
        <v>0</v>
      </c>
      <c r="K319" s="18">
        <v>0</v>
      </c>
      <c r="L319" s="19">
        <f t="shared" si="16"/>
        <v>49852.29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148416.71999999997</v>
      </c>
      <c r="G327" s="42">
        <f t="shared" si="17"/>
        <v>26104.219999999994</v>
      </c>
      <c r="H327" s="42">
        <f t="shared" si="17"/>
        <v>48342.22</v>
      </c>
      <c r="I327" s="42">
        <f t="shared" si="17"/>
        <v>18099.38</v>
      </c>
      <c r="J327" s="42">
        <f t="shared" si="17"/>
        <v>28546.83</v>
      </c>
      <c r="K327" s="42">
        <f t="shared" si="17"/>
        <v>0</v>
      </c>
      <c r="L327" s="41">
        <f t="shared" si="17"/>
        <v>269509.37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148416.71999999997</v>
      </c>
      <c r="G337" s="41">
        <f t="shared" si="20"/>
        <v>26104.219999999994</v>
      </c>
      <c r="H337" s="41">
        <f t="shared" si="20"/>
        <v>48342.22</v>
      </c>
      <c r="I337" s="41">
        <f t="shared" si="20"/>
        <v>18099.38</v>
      </c>
      <c r="J337" s="41">
        <f t="shared" si="20"/>
        <v>28546.83</v>
      </c>
      <c r="K337" s="41">
        <f t="shared" si="20"/>
        <v>0</v>
      </c>
      <c r="L337" s="41">
        <f t="shared" si="20"/>
        <v>269509.37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148416.71999999997</v>
      </c>
      <c r="G351" s="41">
        <f>G337</f>
        <v>26104.219999999994</v>
      </c>
      <c r="H351" s="41">
        <f>H337</f>
        <v>48342.22</v>
      </c>
      <c r="I351" s="41">
        <f>I337</f>
        <v>18099.38</v>
      </c>
      <c r="J351" s="41">
        <f>J337</f>
        <v>28546.83</v>
      </c>
      <c r="K351" s="47">
        <f>K337+K350</f>
        <v>0</v>
      </c>
      <c r="L351" s="41">
        <f>L337+L350</f>
        <v>269509.37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170065.54</v>
      </c>
      <c r="G359" s="18">
        <v>87901.07</v>
      </c>
      <c r="H359" s="18">
        <v>16096.59</v>
      </c>
      <c r="I359" s="18">
        <v>155108.31</v>
      </c>
      <c r="J359" s="18">
        <v>13597.77</v>
      </c>
      <c r="K359" s="18">
        <v>5.81</v>
      </c>
      <c r="L359" s="19">
        <f>SUM(F359:K359)</f>
        <v>442775.09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170065.54</v>
      </c>
      <c r="G361" s="47">
        <f t="shared" si="22"/>
        <v>87901.07</v>
      </c>
      <c r="H361" s="47">
        <f t="shared" si="22"/>
        <v>16096.59</v>
      </c>
      <c r="I361" s="47">
        <f t="shared" si="22"/>
        <v>155108.31</v>
      </c>
      <c r="J361" s="47">
        <f t="shared" si="22"/>
        <v>13597.77</v>
      </c>
      <c r="K361" s="47">
        <f t="shared" si="22"/>
        <v>5.81</v>
      </c>
      <c r="L361" s="47">
        <f t="shared" si="22"/>
        <v>442775.09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>
        <v>145286.63</v>
      </c>
      <c r="I366" s="56">
        <f>SUM(F366:H366)</f>
        <v>145286.63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>
        <v>9821.68</v>
      </c>
      <c r="I367" s="56">
        <f>SUM(F367:H367)</f>
        <v>9821.68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155108.31</v>
      </c>
      <c r="I368" s="47">
        <f>SUM(I366:I367)</f>
        <v>155108.31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65000</v>
      </c>
      <c r="H395" s="18">
        <v>165.14</v>
      </c>
      <c r="I395" s="18"/>
      <c r="J395" s="24" t="s">
        <v>289</v>
      </c>
      <c r="K395" s="24" t="s">
        <v>289</v>
      </c>
      <c r="L395" s="56">
        <f t="shared" si="26"/>
        <v>65165.14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56.92</v>
      </c>
      <c r="I399" s="18"/>
      <c r="J399" s="24" t="s">
        <v>289</v>
      </c>
      <c r="K399" s="24" t="s">
        <v>289</v>
      </c>
      <c r="L399" s="56">
        <f t="shared" si="26"/>
        <v>56.92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65000</v>
      </c>
      <c r="H400" s="47">
        <f>SUM(H394:H399)</f>
        <v>222.06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65222.06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 t="s">
        <v>909</v>
      </c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>
        <v>14567.98</v>
      </c>
      <c r="J402" s="24" t="s">
        <v>289</v>
      </c>
      <c r="K402" s="24" t="s">
        <v>289</v>
      </c>
      <c r="L402" s="56">
        <f>SUM(F402:K402)</f>
        <v>14567.98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14567.98</v>
      </c>
      <c r="J406" s="49" t="s">
        <v>289</v>
      </c>
      <c r="K406" s="49" t="s">
        <v>289</v>
      </c>
      <c r="L406" s="47">
        <f>SUM(L402:L405)</f>
        <v>14567.98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65000</v>
      </c>
      <c r="H407" s="47">
        <f>H392+H400+H406</f>
        <v>222.06</v>
      </c>
      <c r="I407" s="47">
        <f>I392+I400+I406</f>
        <v>14567.98</v>
      </c>
      <c r="J407" s="24" t="s">
        <v>289</v>
      </c>
      <c r="K407" s="24" t="s">
        <v>289</v>
      </c>
      <c r="L407" s="47">
        <f>L392+L400+L406</f>
        <v>79790.039999999994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>
        <v>-363.56</v>
      </c>
      <c r="I421" s="18"/>
      <c r="J421" s="18"/>
      <c r="K421" s="18"/>
      <c r="L421" s="56">
        <f t="shared" si="29"/>
        <v>-363.56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-363.56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-363.56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 t="s">
        <v>909</v>
      </c>
      <c r="B428" s="6">
        <v>17</v>
      </c>
      <c r="C428" s="6">
        <v>15</v>
      </c>
      <c r="D428" s="2" t="s">
        <v>433</v>
      </c>
      <c r="E428" s="6"/>
      <c r="F428" s="18">
        <v>16636</v>
      </c>
      <c r="G428" s="18">
        <v>2529.0100000000002</v>
      </c>
      <c r="H428" s="18">
        <v>1125.1500000000001</v>
      </c>
      <c r="I428" s="18">
        <v>438.41</v>
      </c>
      <c r="J428" s="18">
        <v>2693.48</v>
      </c>
      <c r="K428" s="18"/>
      <c r="L428" s="56">
        <f>SUM(F428:K428)</f>
        <v>23422.050000000003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16636</v>
      </c>
      <c r="G432" s="47">
        <f t="shared" si="31"/>
        <v>2529.0100000000002</v>
      </c>
      <c r="H432" s="47">
        <f t="shared" si="31"/>
        <v>1125.1500000000001</v>
      </c>
      <c r="I432" s="47">
        <f t="shared" si="31"/>
        <v>438.41</v>
      </c>
      <c r="J432" s="47">
        <f t="shared" si="31"/>
        <v>2693.48</v>
      </c>
      <c r="K432" s="47">
        <f t="shared" si="31"/>
        <v>0</v>
      </c>
      <c r="L432" s="47">
        <f t="shared" si="31"/>
        <v>23422.050000000003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16636</v>
      </c>
      <c r="G433" s="47">
        <f t="shared" si="32"/>
        <v>2529.0100000000002</v>
      </c>
      <c r="H433" s="47">
        <f t="shared" si="32"/>
        <v>761.59000000000015</v>
      </c>
      <c r="I433" s="47">
        <f t="shared" si="32"/>
        <v>438.41</v>
      </c>
      <c r="J433" s="47">
        <f t="shared" si="32"/>
        <v>2693.48</v>
      </c>
      <c r="K433" s="47">
        <f t="shared" si="32"/>
        <v>0</v>
      </c>
      <c r="L433" s="47">
        <f t="shared" si="32"/>
        <v>23058.49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>
        <v>438702.75</v>
      </c>
      <c r="H441" s="18"/>
      <c r="I441" s="56">
        <f t="shared" si="33"/>
        <v>438702.75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438702.75</v>
      </c>
      <c r="H445" s="13">
        <f>SUM(H438:H444)</f>
        <v>0</v>
      </c>
      <c r="I445" s="13">
        <f>SUM(I438:I444)</f>
        <v>438702.75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>
        <v>2977.75</v>
      </c>
      <c r="H447" s="18"/>
      <c r="I447" s="56">
        <f>SUM(F447:H447)</f>
        <v>2977.75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2977.75</v>
      </c>
      <c r="H451" s="72">
        <f>SUM(H447:H450)</f>
        <v>0</v>
      </c>
      <c r="I451" s="72">
        <f>SUM(I447:I450)</f>
        <v>2977.75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f>373117.13+65585.62+5876.32-8854.07</f>
        <v>435725</v>
      </c>
      <c r="H458" s="18"/>
      <c r="I458" s="56">
        <f t="shared" si="34"/>
        <v>435725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435725</v>
      </c>
      <c r="H459" s="83">
        <f>SUM(H453:H458)</f>
        <v>0</v>
      </c>
      <c r="I459" s="83">
        <f>SUM(I453:I458)</f>
        <v>435725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438702.75</v>
      </c>
      <c r="H460" s="42">
        <f>H451+H459</f>
        <v>0</v>
      </c>
      <c r="I460" s="42">
        <f>I451+I459</f>
        <v>438702.75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635756.79</v>
      </c>
      <c r="G464" s="18">
        <v>0</v>
      </c>
      <c r="H464" s="18">
        <v>0</v>
      </c>
      <c r="I464" s="18">
        <v>0</v>
      </c>
      <c r="J464" s="18">
        <v>378993.45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17375256.48</v>
      </c>
      <c r="G467" s="18">
        <v>440629.56</v>
      </c>
      <c r="H467" s="18">
        <v>269509.37</v>
      </c>
      <c r="I467" s="18">
        <v>0</v>
      </c>
      <c r="J467" s="18">
        <f>65222.06+14567.98</f>
        <v>79790.039999999994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17375256.48</v>
      </c>
      <c r="G469" s="53">
        <f>SUM(G467:G468)</f>
        <v>440629.56</v>
      </c>
      <c r="H469" s="53">
        <f>SUM(H467:H468)</f>
        <v>269509.37</v>
      </c>
      <c r="I469" s="53">
        <f>SUM(I467:I468)</f>
        <v>0</v>
      </c>
      <c r="J469" s="53">
        <f>SUM(J467:J468)</f>
        <v>79790.039999999994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17661434.38+89807.41+2475.99</f>
        <v>17753717.779999997</v>
      </c>
      <c r="G471" s="18">
        <f>300.43+442474.66</f>
        <v>442775.08999999997</v>
      </c>
      <c r="H471" s="18">
        <v>269509.37</v>
      </c>
      <c r="I471" s="18">
        <v>0</v>
      </c>
      <c r="J471" s="18">
        <f>23422.05-363.56</f>
        <v>23058.489999999998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25595.32+10000</f>
        <v>35595.32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17789313.099999998</v>
      </c>
      <c r="G473" s="53">
        <f>SUM(G471:G472)</f>
        <v>442775.08999999997</v>
      </c>
      <c r="H473" s="53">
        <f>SUM(H471:H472)</f>
        <v>269509.37</v>
      </c>
      <c r="I473" s="53">
        <f>SUM(I471:I472)</f>
        <v>0</v>
      </c>
      <c r="J473" s="53">
        <f>SUM(J471:J472)</f>
        <v>23058.489999999998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221700.17000000179</v>
      </c>
      <c r="G475" s="53">
        <f>(G464+G469)- G473</f>
        <v>-2145.5299999999697</v>
      </c>
      <c r="H475" s="53">
        <f>(H464+H469)- H473</f>
        <v>0</v>
      </c>
      <c r="I475" s="53">
        <f>(I464+I469)- I473</f>
        <v>0</v>
      </c>
      <c r="J475" s="53">
        <f>(J464+J469)- J473</f>
        <v>435725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5800000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0.05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1160000</v>
      </c>
      <c r="G494" s="18"/>
      <c r="H494" s="18"/>
      <c r="I494" s="18"/>
      <c r="J494" s="18"/>
      <c r="K494" s="53">
        <f>SUM(F494:J494)</f>
        <v>1160000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580000</v>
      </c>
      <c r="G496" s="18"/>
      <c r="H496" s="18"/>
      <c r="I496" s="18"/>
      <c r="J496" s="18"/>
      <c r="K496" s="53">
        <f t="shared" si="35"/>
        <v>580000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580000</v>
      </c>
      <c r="G497" s="205"/>
      <c r="H497" s="205"/>
      <c r="I497" s="205"/>
      <c r="J497" s="205"/>
      <c r="K497" s="206">
        <f t="shared" si="35"/>
        <v>580000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14355</v>
      </c>
      <c r="G498" s="18"/>
      <c r="H498" s="18"/>
      <c r="I498" s="18"/>
      <c r="J498" s="18"/>
      <c r="K498" s="53">
        <f t="shared" si="35"/>
        <v>14355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594355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594355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580000</v>
      </c>
      <c r="G500" s="205"/>
      <c r="H500" s="205"/>
      <c r="I500" s="205"/>
      <c r="J500" s="205"/>
      <c r="K500" s="206">
        <f t="shared" si="35"/>
        <v>580000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14355</v>
      </c>
      <c r="G501" s="18"/>
      <c r="H501" s="18"/>
      <c r="I501" s="18"/>
      <c r="J501" s="18"/>
      <c r="K501" s="53">
        <f t="shared" si="35"/>
        <v>14355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594355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594355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/>
      <c r="I520" s="18"/>
      <c r="J520" s="18"/>
      <c r="K520" s="18"/>
      <c r="L520" s="88">
        <f>SUM(F520:K520)</f>
        <v>0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1538972.47</v>
      </c>
      <c r="G522" s="18">
        <f>217389.37+349053.38</f>
        <v>566442.75</v>
      </c>
      <c r="H522" s="18">
        <f>259277.39+459466.94</f>
        <v>718744.33000000007</v>
      </c>
      <c r="I522" s="18">
        <v>15417.3</v>
      </c>
      <c r="J522" s="18">
        <v>28546.83</v>
      </c>
      <c r="K522" s="18"/>
      <c r="L522" s="88">
        <f>SUM(F522:K522)</f>
        <v>2868123.6799999997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1538972.47</v>
      </c>
      <c r="G523" s="108">
        <f t="shared" ref="G523:L523" si="36">SUM(G520:G522)</f>
        <v>566442.75</v>
      </c>
      <c r="H523" s="108">
        <f t="shared" si="36"/>
        <v>718744.33000000007</v>
      </c>
      <c r="I523" s="108">
        <f t="shared" si="36"/>
        <v>15417.3</v>
      </c>
      <c r="J523" s="108">
        <f t="shared" si="36"/>
        <v>28546.83</v>
      </c>
      <c r="K523" s="108">
        <f t="shared" si="36"/>
        <v>0</v>
      </c>
      <c r="L523" s="89">
        <f t="shared" si="36"/>
        <v>2868123.6799999997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/>
      <c r="I525" s="18"/>
      <c r="J525" s="18"/>
      <c r="K525" s="18"/>
      <c r="L525" s="88">
        <f>SUM(F525:K525)</f>
        <v>0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69502</v>
      </c>
      <c r="G527" s="18">
        <v>24444.61</v>
      </c>
      <c r="H527" s="18">
        <f>244284.6</f>
        <v>244284.6</v>
      </c>
      <c r="I527" s="18"/>
      <c r="J527" s="18"/>
      <c r="K527" s="18"/>
      <c r="L527" s="88">
        <f>SUM(F527:K527)</f>
        <v>338231.21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69502</v>
      </c>
      <c r="G528" s="89">
        <f t="shared" ref="G528:L528" si="37">SUM(G525:G527)</f>
        <v>24444.61</v>
      </c>
      <c r="H528" s="89">
        <f t="shared" si="37"/>
        <v>244284.6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338231.21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/>
      <c r="I530" s="18"/>
      <c r="J530" s="18"/>
      <c r="K530" s="18"/>
      <c r="L530" s="88">
        <f>SUM(F530:K530)</f>
        <v>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231011.96</v>
      </c>
      <c r="G532" s="18">
        <f>76178.38+12443.75</f>
        <v>88622.13</v>
      </c>
      <c r="H532" s="18">
        <f>25927.1+1174.09</f>
        <v>27101.19</v>
      </c>
      <c r="I532" s="18">
        <v>8019.84</v>
      </c>
      <c r="J532" s="18">
        <v>11919.06</v>
      </c>
      <c r="K532" s="18">
        <v>250</v>
      </c>
      <c r="L532" s="88">
        <f>SUM(F532:K532)</f>
        <v>366924.18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231011.96</v>
      </c>
      <c r="G533" s="89">
        <f t="shared" ref="G533:L533" si="38">SUM(G530:G532)</f>
        <v>88622.13</v>
      </c>
      <c r="H533" s="89">
        <f t="shared" si="38"/>
        <v>27101.19</v>
      </c>
      <c r="I533" s="89">
        <f t="shared" si="38"/>
        <v>8019.84</v>
      </c>
      <c r="J533" s="89">
        <f t="shared" si="38"/>
        <v>11919.06</v>
      </c>
      <c r="K533" s="89">
        <f t="shared" si="38"/>
        <v>250</v>
      </c>
      <c r="L533" s="89">
        <f t="shared" si="38"/>
        <v>366924.18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216958.81</v>
      </c>
      <c r="I542" s="18"/>
      <c r="J542" s="18"/>
      <c r="K542" s="18"/>
      <c r="L542" s="88">
        <f>SUM(F542:K542)</f>
        <v>216958.81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216958.81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216958.81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1839486.43</v>
      </c>
      <c r="G544" s="89">
        <f t="shared" ref="G544:L544" si="41">G523+G528+G533+G538+G543</f>
        <v>679509.49</v>
      </c>
      <c r="H544" s="89">
        <f t="shared" si="41"/>
        <v>1207088.93</v>
      </c>
      <c r="I544" s="89">
        <f t="shared" si="41"/>
        <v>23437.14</v>
      </c>
      <c r="J544" s="89">
        <f t="shared" si="41"/>
        <v>40465.89</v>
      </c>
      <c r="K544" s="89">
        <f t="shared" si="41"/>
        <v>250</v>
      </c>
      <c r="L544" s="89">
        <f t="shared" si="41"/>
        <v>3790237.88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0</v>
      </c>
      <c r="G548" s="87">
        <f>L525</f>
        <v>0</v>
      </c>
      <c r="H548" s="87">
        <f>L530</f>
        <v>0</v>
      </c>
      <c r="I548" s="87">
        <f>L535</f>
        <v>0</v>
      </c>
      <c r="J548" s="87">
        <f>L540</f>
        <v>0</v>
      </c>
      <c r="K548" s="87">
        <f>SUM(F548:J548)</f>
        <v>0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2868123.6799999997</v>
      </c>
      <c r="G550" s="87">
        <f>L527</f>
        <v>338231.21</v>
      </c>
      <c r="H550" s="87">
        <f>L532</f>
        <v>366924.18</v>
      </c>
      <c r="I550" s="87">
        <f>L537</f>
        <v>0</v>
      </c>
      <c r="J550" s="87">
        <f>L542</f>
        <v>216958.81</v>
      </c>
      <c r="K550" s="87">
        <f>SUM(F550:J550)</f>
        <v>3790237.88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2868123.6799999997</v>
      </c>
      <c r="G551" s="89">
        <f t="shared" si="42"/>
        <v>338231.21</v>
      </c>
      <c r="H551" s="89">
        <f t="shared" si="42"/>
        <v>366924.18</v>
      </c>
      <c r="I551" s="89">
        <f t="shared" si="42"/>
        <v>0</v>
      </c>
      <c r="J551" s="89">
        <f t="shared" si="42"/>
        <v>216958.81</v>
      </c>
      <c r="K551" s="89">
        <f t="shared" si="42"/>
        <v>3790237.88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454715.19</v>
      </c>
      <c r="I581" s="87">
        <f t="shared" si="47"/>
        <v>454715.19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23955.96</v>
      </c>
      <c r="I583" s="87">
        <f t="shared" si="47"/>
        <v>23955.96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/>
      <c r="I590" s="18"/>
      <c r="J590" s="18">
        <v>205733</v>
      </c>
      <c r="K590" s="104">
        <f t="shared" ref="K590:K596" si="48">SUM(H590:J590)</f>
        <v>205733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>
        <v>216958.81</v>
      </c>
      <c r="K591" s="104">
        <f t="shared" si="48"/>
        <v>216958.81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45215.98</v>
      </c>
      <c r="K592" s="104">
        <f t="shared" si="48"/>
        <v>45215.98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>
        <v>107376.51</v>
      </c>
      <c r="K593" s="104">
        <f t="shared" si="48"/>
        <v>107376.51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>
        <v>7290.2</v>
      </c>
      <c r="K594" s="104">
        <f t="shared" si="48"/>
        <v>7290.2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0</v>
      </c>
      <c r="I597" s="108">
        <f>SUM(I590:I596)</f>
        <v>0</v>
      </c>
      <c r="J597" s="108">
        <f>SUM(J590:J596)</f>
        <v>582574.49999999988</v>
      </c>
      <c r="K597" s="108">
        <f>SUM(K590:K596)</f>
        <v>582574.49999999988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>
        <v>0</v>
      </c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>
        <v>0</v>
      </c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>
        <f>268973.87-16291.25</f>
        <v>252682.62</v>
      </c>
      <c r="K603" s="104">
        <f>SUM(H603:J603)</f>
        <v>252682.62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252682.62</v>
      </c>
      <c r="K604" s="108">
        <f>SUM(K601:K603)</f>
        <v>252682.62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321587.97000000003</v>
      </c>
      <c r="H616" s="109">
        <f>SUM(F51)</f>
        <v>321587.96999999997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7886.84</v>
      </c>
      <c r="H617" s="109">
        <f>SUM(G51)</f>
        <v>7886.8400000000011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91985.3</v>
      </c>
      <c r="H618" s="109">
        <f>SUM(H51)</f>
        <v>91985.3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438702.75</v>
      </c>
      <c r="H620" s="109">
        <f>SUM(J51)</f>
        <v>438702.75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221700.16999999998</v>
      </c>
      <c r="H621" s="109">
        <f>F475</f>
        <v>221700.17000000179</v>
      </c>
      <c r="I621" s="121" t="s">
        <v>101</v>
      </c>
      <c r="J621" s="109">
        <f t="shared" ref="J621:J654" si="50">G621-H621</f>
        <v>-1.8044374883174896E-9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-2145.5299999999997</v>
      </c>
      <c r="H622" s="109">
        <f>G475</f>
        <v>-2145.5299999999697</v>
      </c>
      <c r="I622" s="121" t="s">
        <v>102</v>
      </c>
      <c r="J622" s="109">
        <f t="shared" si="50"/>
        <v>-3.0013325158506632E-11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435725</v>
      </c>
      <c r="H625" s="109">
        <f>J475</f>
        <v>435725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17375256.48</v>
      </c>
      <c r="H626" s="104">
        <f>SUM(F467)</f>
        <v>17375256.48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440629.56000000006</v>
      </c>
      <c r="H627" s="104">
        <f>SUM(G467)</f>
        <v>440629.56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269509.37000000005</v>
      </c>
      <c r="H628" s="104">
        <f>SUM(H467)</f>
        <v>269509.37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79790.039999999994</v>
      </c>
      <c r="H630" s="104">
        <f>SUM(J467)</f>
        <v>79790.039999999994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17753717.780000001</v>
      </c>
      <c r="H631" s="104">
        <f>SUM(F471)</f>
        <v>17753717.779999997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269509.37</v>
      </c>
      <c r="H632" s="104">
        <f>SUM(H471)</f>
        <v>269509.37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155108.31</v>
      </c>
      <c r="H633" s="104">
        <f>I368</f>
        <v>155108.31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442775.09</v>
      </c>
      <c r="H634" s="104">
        <f>SUM(G471)</f>
        <v>442775.08999999997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79790.039999999994</v>
      </c>
      <c r="H636" s="164">
        <f>SUM(J467)</f>
        <v>79790.039999999994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23058.49</v>
      </c>
      <c r="H637" s="164">
        <f>SUM(J471)</f>
        <v>23058.489999999998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438702.75</v>
      </c>
      <c r="H639" s="104">
        <f>SUM(G460)</f>
        <v>438702.75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438702.75</v>
      </c>
      <c r="H641" s="104">
        <f>SUM(I460)</f>
        <v>438702.75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222.06</v>
      </c>
      <c r="H643" s="104">
        <f>H407</f>
        <v>222.06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65000</v>
      </c>
      <c r="H644" s="104">
        <f>G407</f>
        <v>65000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79790.039999999994</v>
      </c>
      <c r="H645" s="104">
        <f>L407</f>
        <v>79790.039999999994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582574.49999999988</v>
      </c>
      <c r="H646" s="104">
        <f>L207+L225+L243</f>
        <v>582574.5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252682.62</v>
      </c>
      <c r="H647" s="104">
        <f>(J256+J337)-(J254+J335)</f>
        <v>252682.62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0</v>
      </c>
      <c r="H648" s="104">
        <f>H597</f>
        <v>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582574.5</v>
      </c>
      <c r="H650" s="104">
        <f>J597</f>
        <v>582574.49999999988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15000</v>
      </c>
      <c r="H651" s="104">
        <f>K262+K344</f>
        <v>15000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65000</v>
      </c>
      <c r="H654" s="104">
        <f>K265+K346</f>
        <v>65000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0</v>
      </c>
      <c r="G659" s="19">
        <f>(L228+L308+L358)</f>
        <v>0</v>
      </c>
      <c r="H659" s="19">
        <f>(L246+L327+L359)</f>
        <v>17320850.510000002</v>
      </c>
      <c r="I659" s="19">
        <f>SUM(F659:H659)</f>
        <v>17320850.510000002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384423.30000000005</v>
      </c>
      <c r="I660" s="19">
        <f>SUM(F660:H660)</f>
        <v>384423.30000000005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0</v>
      </c>
      <c r="G661" s="19">
        <f>(L225+L305)-(J225+J305)</f>
        <v>0</v>
      </c>
      <c r="H661" s="19">
        <f>(L243+L324)-(J243+J324)</f>
        <v>582574.5</v>
      </c>
      <c r="I661" s="19">
        <f>SUM(F661:H661)</f>
        <v>582574.5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0</v>
      </c>
      <c r="G662" s="200">
        <f>SUM(G574:G586)+SUM(I601:I603)+L611</f>
        <v>0</v>
      </c>
      <c r="H662" s="200">
        <f>SUM(H574:H586)+SUM(J601:J603)+L612</f>
        <v>731353.77</v>
      </c>
      <c r="I662" s="19">
        <f>SUM(F662:H662)</f>
        <v>731353.77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0</v>
      </c>
      <c r="G663" s="19">
        <f>G659-SUM(G660:G662)</f>
        <v>0</v>
      </c>
      <c r="H663" s="19">
        <f>H659-SUM(H660:H662)</f>
        <v>15622498.940000001</v>
      </c>
      <c r="I663" s="19">
        <f>I659-SUM(I660:I662)</f>
        <v>15622498.940000001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/>
      <c r="H664" s="249">
        <v>851.59</v>
      </c>
      <c r="I664" s="19">
        <f>SUM(F664:H664)</f>
        <v>851.59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>
        <f>ROUND(H663/H664,2)</f>
        <v>18345.09</v>
      </c>
      <c r="I666" s="19">
        <f>ROUND(I663/I664,2)</f>
        <v>18345.09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-5.13</v>
      </c>
      <c r="I669" s="19">
        <f>SUM(F669:H669)</f>
        <v>-5.13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>
        <f>ROUND((H663+H668)/(H664+H669),2)</f>
        <v>18456.28</v>
      </c>
      <c r="I671" s="19">
        <f>ROUND((I663+I668)/(I664+I669),2)</f>
        <v>18456.28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H18" sqref="H1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Souhegan Coop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5309984.13</v>
      </c>
      <c r="C9" s="230">
        <f>'DOE25'!G196+'DOE25'!G214+'DOE25'!G232+'DOE25'!G275+'DOE25'!G294+'DOE25'!G313</f>
        <v>1852469.73</v>
      </c>
    </row>
    <row r="10" spans="1:3" x14ac:dyDescent="0.2">
      <c r="A10" t="s">
        <v>779</v>
      </c>
      <c r="B10" s="241">
        <v>5095862.71</v>
      </c>
      <c r="C10" s="241">
        <v>1778370.94</v>
      </c>
    </row>
    <row r="11" spans="1:3" x14ac:dyDescent="0.2">
      <c r="A11" t="s">
        <v>780</v>
      </c>
      <c r="B11" s="241">
        <v>32764.84</v>
      </c>
      <c r="C11" s="241">
        <v>11114.82</v>
      </c>
    </row>
    <row r="12" spans="1:3" x14ac:dyDescent="0.2">
      <c r="A12" t="s">
        <v>781</v>
      </c>
      <c r="B12" s="241">
        <v>181356.58</v>
      </c>
      <c r="C12" s="241">
        <v>62983.97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5309984.13</v>
      </c>
      <c r="C13" s="232">
        <f>SUM(C10:C12)</f>
        <v>1852469.73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1839486.43</v>
      </c>
      <c r="C18" s="230">
        <f>'DOE25'!G197+'DOE25'!G215+'DOE25'!G233+'DOE25'!G276+'DOE25'!G295+'DOE25'!G314</f>
        <v>679517.97</v>
      </c>
    </row>
    <row r="19" spans="1:3" x14ac:dyDescent="0.2">
      <c r="A19" t="s">
        <v>779</v>
      </c>
      <c r="B19" s="241">
        <v>1041094.84</v>
      </c>
      <c r="C19" s="241">
        <v>387325.24</v>
      </c>
    </row>
    <row r="20" spans="1:3" x14ac:dyDescent="0.2">
      <c r="A20" t="s">
        <v>780</v>
      </c>
      <c r="B20" s="241">
        <v>497156.52</v>
      </c>
      <c r="C20" s="241">
        <v>108722.88</v>
      </c>
    </row>
    <row r="21" spans="1:3" x14ac:dyDescent="0.2">
      <c r="A21" t="s">
        <v>781</v>
      </c>
      <c r="B21" s="241">
        <v>301235.07</v>
      </c>
      <c r="C21" s="241">
        <v>183469.85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1839486.43</v>
      </c>
      <c r="C22" s="232">
        <f>SUM(C19:C21)</f>
        <v>679517.97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184550.95</v>
      </c>
      <c r="C36" s="236">
        <f>'DOE25'!G199+'DOE25'!G217+'DOE25'!G235+'DOE25'!G278+'DOE25'!G297+'DOE25'!G316</f>
        <v>21374.05</v>
      </c>
    </row>
    <row r="37" spans="1:3" x14ac:dyDescent="0.2">
      <c r="A37" t="s">
        <v>779</v>
      </c>
      <c r="B37" s="241">
        <v>62715.29</v>
      </c>
      <c r="C37" s="241">
        <v>10816.23</v>
      </c>
    </row>
    <row r="38" spans="1:3" x14ac:dyDescent="0.2">
      <c r="A38" t="s">
        <v>780</v>
      </c>
      <c r="B38" s="241">
        <v>4087.09</v>
      </c>
      <c r="C38" s="241">
        <v>665.77</v>
      </c>
    </row>
    <row r="39" spans="1:3" x14ac:dyDescent="0.2">
      <c r="A39" t="s">
        <v>781</v>
      </c>
      <c r="B39" s="241">
        <v>117748.57</v>
      </c>
      <c r="C39" s="241">
        <v>9892.0499999999993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184550.95</v>
      </c>
      <c r="C40" s="232">
        <f>SUM(C37:C39)</f>
        <v>21374.05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44" sqref="E4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Souhegan Coop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11262473.49</v>
      </c>
      <c r="D5" s="20">
        <f>SUM('DOE25'!L196:L199)+SUM('DOE25'!L214:L217)+SUM('DOE25'!L232:L235)-F5-G5</f>
        <v>11124040.57</v>
      </c>
      <c r="E5" s="244"/>
      <c r="F5" s="256">
        <f>SUM('DOE25'!J196:J199)+SUM('DOE25'!J214:J217)+SUM('DOE25'!J232:J235)</f>
        <v>102207.64</v>
      </c>
      <c r="G5" s="53">
        <f>SUM('DOE25'!K196:K199)+SUM('DOE25'!K214:K217)+SUM('DOE25'!K232:K235)</f>
        <v>36225.279999999999</v>
      </c>
      <c r="H5" s="260"/>
    </row>
    <row r="6" spans="1:9" x14ac:dyDescent="0.2">
      <c r="A6" s="32">
        <v>2100</v>
      </c>
      <c r="B6" t="s">
        <v>801</v>
      </c>
      <c r="C6" s="246">
        <f t="shared" si="0"/>
        <v>995969.33000000007</v>
      </c>
      <c r="D6" s="20">
        <f>'DOE25'!L201+'DOE25'!L219+'DOE25'!L237-F6-G6</f>
        <v>995969.33000000007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502488.45</v>
      </c>
      <c r="D7" s="20">
        <f>'DOE25'!L202+'DOE25'!L220+'DOE25'!L238-F7-G7</f>
        <v>502081.38</v>
      </c>
      <c r="E7" s="244"/>
      <c r="F7" s="256">
        <f>'DOE25'!J202+'DOE25'!J220+'DOE25'!J238</f>
        <v>407.07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742444.20000000007</v>
      </c>
      <c r="D8" s="244"/>
      <c r="E8" s="20">
        <f>'DOE25'!L203+'DOE25'!L221+'DOE25'!L239-F8-G8-D9-D11</f>
        <v>737953.32000000007</v>
      </c>
      <c r="F8" s="256">
        <f>'DOE25'!J203+'DOE25'!J221+'DOE25'!J239</f>
        <v>0</v>
      </c>
      <c r="G8" s="53">
        <f>'DOE25'!K203+'DOE25'!K221+'DOE25'!K239</f>
        <v>4490.88</v>
      </c>
      <c r="H8" s="260"/>
    </row>
    <row r="9" spans="1:9" x14ac:dyDescent="0.2">
      <c r="A9" s="32">
        <v>2310</v>
      </c>
      <c r="B9" t="s">
        <v>818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821174.21</v>
      </c>
      <c r="D12" s="20">
        <f>'DOE25'!L204+'DOE25'!L222+'DOE25'!L240-F12-G12</f>
        <v>747199.49</v>
      </c>
      <c r="E12" s="244"/>
      <c r="F12" s="256">
        <f>'DOE25'!J204+'DOE25'!J222+'DOE25'!J240</f>
        <v>61643.4</v>
      </c>
      <c r="G12" s="53">
        <f>'DOE25'!K204+'DOE25'!K222+'DOE25'!K240</f>
        <v>12331.32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2908.5</v>
      </c>
      <c r="D13" s="244"/>
      <c r="E13" s="20">
        <f>'DOE25'!L205+'DOE25'!L223+'DOE25'!L241-F13-G13</f>
        <v>2908.5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1409038.8</v>
      </c>
      <c r="D14" s="20">
        <f>'DOE25'!L206+'DOE25'!L224+'DOE25'!L242-F14-G14</f>
        <v>1402734.78</v>
      </c>
      <c r="E14" s="244"/>
      <c r="F14" s="256">
        <f>'DOE25'!J206+'DOE25'!J224+'DOE25'!J242</f>
        <v>6098.02</v>
      </c>
      <c r="G14" s="53">
        <f>'DOE25'!K206+'DOE25'!K224+'DOE25'!K242</f>
        <v>206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582574.5</v>
      </c>
      <c r="D15" s="20">
        <f>'DOE25'!L207+'DOE25'!L225+'DOE25'!L243-F15-G15</f>
        <v>582574.5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289494.56999999995</v>
      </c>
      <c r="D16" s="244"/>
      <c r="E16" s="20">
        <f>'DOE25'!L208+'DOE25'!L226+'DOE25'!L244-F16-G16</f>
        <v>235714.90999999995</v>
      </c>
      <c r="F16" s="256">
        <f>'DOE25'!J208+'DOE25'!J226+'DOE25'!J244</f>
        <v>53779.66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11587.4</v>
      </c>
      <c r="D17" s="20">
        <f>'DOE25'!L250-F17-G17</f>
        <v>11587.4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1053564.33</v>
      </c>
      <c r="D25" s="244"/>
      <c r="E25" s="244"/>
      <c r="F25" s="259"/>
      <c r="G25" s="257"/>
      <c r="H25" s="258">
        <f>'DOE25'!L259+'DOE25'!L260+'DOE25'!L340+'DOE25'!L341</f>
        <v>1053564.33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297488.46000000002</v>
      </c>
      <c r="D29" s="20">
        <f>'DOE25'!L357+'DOE25'!L358+'DOE25'!L359-'DOE25'!I366-F29-G29</f>
        <v>283884.88</v>
      </c>
      <c r="E29" s="244"/>
      <c r="F29" s="256">
        <f>'DOE25'!J357+'DOE25'!J358+'DOE25'!J359</f>
        <v>13597.77</v>
      </c>
      <c r="G29" s="53">
        <f>'DOE25'!K357+'DOE25'!K358+'DOE25'!K359</f>
        <v>5.81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269509.37</v>
      </c>
      <c r="D31" s="20">
        <f>'DOE25'!L289+'DOE25'!L308+'DOE25'!L327+'DOE25'!L332+'DOE25'!L333+'DOE25'!L334-F31-G31</f>
        <v>240962.53999999998</v>
      </c>
      <c r="E31" s="244"/>
      <c r="F31" s="256">
        <f>'DOE25'!J289+'DOE25'!J308+'DOE25'!J327+'DOE25'!J332+'DOE25'!J333+'DOE25'!J334</f>
        <v>28546.83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15891034.870000001</v>
      </c>
      <c r="E33" s="247">
        <f>SUM(E5:E31)</f>
        <v>976576.73</v>
      </c>
      <c r="F33" s="247">
        <f>SUM(F5:F31)</f>
        <v>266280.39</v>
      </c>
      <c r="G33" s="247">
        <f>SUM(G5:G31)</f>
        <v>53259.289999999994</v>
      </c>
      <c r="H33" s="247">
        <f>SUM(H5:H31)</f>
        <v>1053564.33</v>
      </c>
    </row>
    <row r="35" spans="2:8" ht="12" thickBot="1" x14ac:dyDescent="0.25">
      <c r="B35" s="254" t="s">
        <v>847</v>
      </c>
      <c r="D35" s="255">
        <f>E33</f>
        <v>976576.73</v>
      </c>
      <c r="E35" s="250"/>
    </row>
    <row r="36" spans="2:8" ht="12" thickTop="1" x14ac:dyDescent="0.2">
      <c r="B36" t="s">
        <v>815</v>
      </c>
      <c r="D36" s="20">
        <f>D33</f>
        <v>15891034.870000001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Souhegan Coop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158136.48000000001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85432.88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67016.61</v>
      </c>
      <c r="D11" s="95">
        <f>'DOE25'!G12</f>
        <v>6236.63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9561.68</v>
      </c>
      <c r="D12" s="95">
        <f>'DOE25'!G13</f>
        <v>1650.21</v>
      </c>
      <c r="E12" s="95">
        <f>'DOE25'!H13</f>
        <v>91985.3</v>
      </c>
      <c r="F12" s="95">
        <f>'DOE25'!I13</f>
        <v>0</v>
      </c>
      <c r="G12" s="95">
        <f>'DOE25'!J13</f>
        <v>438702.75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750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690.32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321587.97000000003</v>
      </c>
      <c r="D18" s="41">
        <f>SUM(D8:D17)</f>
        <v>7886.84</v>
      </c>
      <c r="E18" s="41">
        <f>SUM(E8:E17)</f>
        <v>91985.3</v>
      </c>
      <c r="F18" s="41">
        <f>SUM(F8:F17)</f>
        <v>0</v>
      </c>
      <c r="G18" s="41">
        <f>SUM(G8:G17)</f>
        <v>438702.75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70275.490000000005</v>
      </c>
      <c r="F21" s="95">
        <f>'DOE25'!I22</f>
        <v>0</v>
      </c>
      <c r="G21" s="95">
        <f>'DOE25'!J22</f>
        <v>2977.75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13195.19</v>
      </c>
      <c r="D22" s="95">
        <f>'DOE25'!G23</f>
        <v>9508.42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27415.34</v>
      </c>
      <c r="D23" s="95">
        <f>'DOE25'!G24</f>
        <v>288.95</v>
      </c>
      <c r="E23" s="95">
        <f>'DOE25'!H24</f>
        <v>4300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4440.1400000000003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17825.46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36967.480000000003</v>
      </c>
      <c r="D29" s="95">
        <f>'DOE25'!G30</f>
        <v>235</v>
      </c>
      <c r="E29" s="95">
        <f>'DOE25'!H30</f>
        <v>17409.810000000001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44.19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99887.8</v>
      </c>
      <c r="D31" s="41">
        <f>SUM(D21:D30)</f>
        <v>10032.370000000001</v>
      </c>
      <c r="E31" s="41">
        <f>SUM(E21:E30)</f>
        <v>91985.3</v>
      </c>
      <c r="F31" s="41">
        <f>SUM(F21:F30)</f>
        <v>0</v>
      </c>
      <c r="G31" s="41">
        <f>SUM(G21:G30)</f>
        <v>2977.75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65000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59.05</v>
      </c>
      <c r="D46" s="95">
        <f>'DOE25'!G47</f>
        <v>-3170.5299999999997</v>
      </c>
      <c r="E46" s="95">
        <f>'DOE25'!H47</f>
        <v>0</v>
      </c>
      <c r="F46" s="95">
        <f>'DOE25'!I47</f>
        <v>0</v>
      </c>
      <c r="G46" s="95">
        <f>'DOE25'!J47</f>
        <v>435725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77422.69</v>
      </c>
      <c r="D47" s="95">
        <f>'DOE25'!G48</f>
        <v>1025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79218.429999999993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221700.16999999998</v>
      </c>
      <c r="D49" s="41">
        <f>SUM(D34:D48)</f>
        <v>-2145.5299999999997</v>
      </c>
      <c r="E49" s="41">
        <f>SUM(E34:E48)</f>
        <v>0</v>
      </c>
      <c r="F49" s="41">
        <f>SUM(F34:F48)</f>
        <v>0</v>
      </c>
      <c r="G49" s="41">
        <f>SUM(G34:G48)</f>
        <v>435725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321587.96999999997</v>
      </c>
      <c r="D50" s="41">
        <f>D49+D31</f>
        <v>7886.8400000000011</v>
      </c>
      <c r="E50" s="41">
        <f>E49+E31</f>
        <v>91985.3</v>
      </c>
      <c r="F50" s="41">
        <f>F49+F31</f>
        <v>0</v>
      </c>
      <c r="G50" s="41">
        <f>G49+G31</f>
        <v>438702.75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12690940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53900.45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3214.48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222.06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378867.95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179084.04000000004</v>
      </c>
      <c r="D60" s="95">
        <f>SUM('DOE25'!G97:G109)</f>
        <v>5555.35</v>
      </c>
      <c r="E60" s="95">
        <f>SUM('DOE25'!H97:H109)</f>
        <v>6570.07</v>
      </c>
      <c r="F60" s="95">
        <f>SUM('DOE25'!I97:I109)</f>
        <v>0</v>
      </c>
      <c r="G60" s="95">
        <f>SUM('DOE25'!J97:J109)</f>
        <v>14567.98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236198.97000000003</v>
      </c>
      <c r="D61" s="130">
        <f>SUM(D56:D60)</f>
        <v>384423.3</v>
      </c>
      <c r="E61" s="130">
        <f>SUM(E56:E60)</f>
        <v>6570.07</v>
      </c>
      <c r="F61" s="130">
        <f>SUM(F56:F60)</f>
        <v>0</v>
      </c>
      <c r="G61" s="130">
        <f>SUM(G56:G60)</f>
        <v>14790.039999999999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12927138.970000001</v>
      </c>
      <c r="D62" s="22">
        <f>D55+D61</f>
        <v>384423.3</v>
      </c>
      <c r="E62" s="22">
        <f>E55+E61</f>
        <v>6570.07</v>
      </c>
      <c r="F62" s="22">
        <f>F55+F61</f>
        <v>0</v>
      </c>
      <c r="G62" s="22">
        <f>G55+G61</f>
        <v>14790.039999999999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2029220.82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1584762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1758.18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15659.6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3631400.6000000006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303650.27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368963.76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1826.74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1256.8499999999999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674440.77</v>
      </c>
      <c r="D77" s="130">
        <f>SUM(D71:D76)</f>
        <v>1256.8499999999999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4305841.370000001</v>
      </c>
      <c r="D80" s="130">
        <f>SUM(D78:D79)+D77+D69</f>
        <v>1256.8499999999999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142276.14000000001</v>
      </c>
      <c r="D87" s="95">
        <f>SUM('DOE25'!G152:G160)</f>
        <v>39949.410000000003</v>
      </c>
      <c r="E87" s="95">
        <f>SUM('DOE25'!H152:H160)</f>
        <v>262939.30000000005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142276.14000000001</v>
      </c>
      <c r="D90" s="131">
        <f>SUM(D84:D89)</f>
        <v>39949.410000000003</v>
      </c>
      <c r="E90" s="131">
        <f>SUM(E84:E89)</f>
        <v>262939.30000000005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15000</v>
      </c>
      <c r="E95" s="95">
        <f>'DOE25'!H178</f>
        <v>0</v>
      </c>
      <c r="F95" s="95">
        <f>'DOE25'!I178</f>
        <v>0</v>
      </c>
      <c r="G95" s="95">
        <f>'DOE25'!J178</f>
        <v>65000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15000</v>
      </c>
      <c r="E102" s="86">
        <f>SUM(E92:E101)</f>
        <v>0</v>
      </c>
      <c r="F102" s="86">
        <f>SUM(F92:F101)</f>
        <v>0</v>
      </c>
      <c r="G102" s="86">
        <f>SUM(G92:G101)</f>
        <v>65000</v>
      </c>
    </row>
    <row r="103" spans="1:7" ht="12.75" thickTop="1" thickBot="1" x14ac:dyDescent="0.25">
      <c r="A103" s="33" t="s">
        <v>765</v>
      </c>
      <c r="C103" s="86">
        <f>C62+C80+C90+C102</f>
        <v>17375256.480000004</v>
      </c>
      <c r="D103" s="86">
        <f>D62+D80+D90+D102</f>
        <v>440629.55999999994</v>
      </c>
      <c r="E103" s="86">
        <f>E62+E80+E90+E102</f>
        <v>269509.37000000005</v>
      </c>
      <c r="F103" s="86">
        <f>F62+F80+F90+F102</f>
        <v>0</v>
      </c>
      <c r="G103" s="86">
        <f>G62+G80+G102</f>
        <v>79790.039999999994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7445208.7300000004</v>
      </c>
      <c r="D108" s="24" t="s">
        <v>289</v>
      </c>
      <c r="E108" s="95">
        <f>('DOE25'!L275)+('DOE25'!L294)+('DOE25'!L313)</f>
        <v>11067.83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3368744.3600000003</v>
      </c>
      <c r="D109" s="24" t="s">
        <v>289</v>
      </c>
      <c r="E109" s="95">
        <f>('DOE25'!L276)+('DOE25'!L295)+('DOE25'!L314)</f>
        <v>207019.18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448520.4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11587.4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11274060.890000001</v>
      </c>
      <c r="D114" s="86">
        <f>SUM(D108:D113)</f>
        <v>0</v>
      </c>
      <c r="E114" s="86">
        <f>SUM(E108:E113)</f>
        <v>218087.00999999998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995969.33000000007</v>
      </c>
      <c r="D117" s="24" t="s">
        <v>289</v>
      </c>
      <c r="E117" s="95">
        <f>+('DOE25'!L280)+('DOE25'!L299)+('DOE25'!L318)</f>
        <v>1570.0700000000002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502488.45</v>
      </c>
      <c r="D118" s="24" t="s">
        <v>289</v>
      </c>
      <c r="E118" s="95">
        <f>+('DOE25'!L281)+('DOE25'!L300)+('DOE25'!L319)</f>
        <v>49852.29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742444.20000000007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821174.21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2908.5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1409038.8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582574.5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289494.56999999995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442775.09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5346092.5600000005</v>
      </c>
      <c r="D127" s="86">
        <f>SUM(D117:D126)</f>
        <v>442775.09</v>
      </c>
      <c r="E127" s="86">
        <f>SUM(E117:E126)</f>
        <v>51422.36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672846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380718.33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15000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65222.06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14567.98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-14790.039999999994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1133564.33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17753717.780000001</v>
      </c>
      <c r="D144" s="86">
        <f>(D114+D127+D143)</f>
        <v>442775.09</v>
      </c>
      <c r="E144" s="86">
        <f>(E114+E127+E143)</f>
        <v>269509.37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5800000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0.05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1160000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1160000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580000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580000</v>
      </c>
    </row>
    <row r="158" spans="1:9" x14ac:dyDescent="0.2">
      <c r="A158" s="22" t="s">
        <v>35</v>
      </c>
      <c r="B158" s="137">
        <f>'DOE25'!F497</f>
        <v>580000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580000</v>
      </c>
    </row>
    <row r="159" spans="1:9" x14ac:dyDescent="0.2">
      <c r="A159" s="22" t="s">
        <v>36</v>
      </c>
      <c r="B159" s="137">
        <f>'DOE25'!F498</f>
        <v>14355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14355</v>
      </c>
    </row>
    <row r="160" spans="1:9" x14ac:dyDescent="0.2">
      <c r="A160" s="22" t="s">
        <v>37</v>
      </c>
      <c r="B160" s="137">
        <f>'DOE25'!F499</f>
        <v>594355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594355</v>
      </c>
    </row>
    <row r="161" spans="1:7" x14ac:dyDescent="0.2">
      <c r="A161" s="22" t="s">
        <v>38</v>
      </c>
      <c r="B161" s="137">
        <f>'DOE25'!F500</f>
        <v>580000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580000</v>
      </c>
    </row>
    <row r="162" spans="1:7" x14ac:dyDescent="0.2">
      <c r="A162" s="22" t="s">
        <v>39</v>
      </c>
      <c r="B162" s="137">
        <f>'DOE25'!F501</f>
        <v>14355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14355</v>
      </c>
    </row>
    <row r="163" spans="1:7" x14ac:dyDescent="0.2">
      <c r="A163" s="22" t="s">
        <v>246</v>
      </c>
      <c r="B163" s="137">
        <f>'DOE25'!F502</f>
        <v>594355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594355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Souhegan Coop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18456</v>
      </c>
    </row>
    <row r="7" spans="1:4" x14ac:dyDescent="0.2">
      <c r="B7" t="s">
        <v>705</v>
      </c>
      <c r="C7" s="179">
        <f>IF('DOE25'!I664+'DOE25'!I669=0,0,ROUND('DOE25'!I671,0))</f>
        <v>18456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7456277</v>
      </c>
      <c r="D10" s="182">
        <f>ROUND((C10/$C$28)*100,1)</f>
        <v>43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3575764</v>
      </c>
      <c r="D11" s="182">
        <f>ROUND((C11/$C$28)*100,1)</f>
        <v>20.6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448520</v>
      </c>
      <c r="D13" s="182">
        <f>ROUND((C13/$C$28)*100,1)</f>
        <v>2.6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997539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552341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1031939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821174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2909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1409039</v>
      </c>
      <c r="D20" s="182">
        <f t="shared" si="0"/>
        <v>8.1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582575</v>
      </c>
      <c r="D21" s="182">
        <f t="shared" si="0"/>
        <v>3.4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11587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ROUND('DOE25'!L260+'DOE25'!L341,0)</f>
        <v>380718</v>
      </c>
      <c r="D25" s="182">
        <f t="shared" si="0"/>
        <v>2.2000000000000002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58351.699999999953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17328733.699999999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17328733.699999999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672846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12690940</v>
      </c>
      <c r="D35" s="182">
        <f t="shared" ref="D35:D40" si="1">ROUND((C35/$C$41)*100,1)</f>
        <v>71.7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257559.07999999821</v>
      </c>
      <c r="D36" s="182">
        <f t="shared" si="1"/>
        <v>1.5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3615741</v>
      </c>
      <c r="D37" s="182">
        <f t="shared" si="1"/>
        <v>20.399999999999999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691357</v>
      </c>
      <c r="D38" s="182">
        <f t="shared" si="1"/>
        <v>3.9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445165</v>
      </c>
      <c r="D39" s="182">
        <f t="shared" si="1"/>
        <v>2.5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17700762.079999998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Souhegan Coop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2012-08-22T16:09:01Z</cp:lastPrinted>
  <dcterms:created xsi:type="dcterms:W3CDTF">1997-12-04T19:04:30Z</dcterms:created>
  <dcterms:modified xsi:type="dcterms:W3CDTF">2012-11-21T16:01:20Z</dcterms:modified>
</cp:coreProperties>
</file>