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22140" windowHeight="11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530" i="1" l="1"/>
  <c r="H603" i="1"/>
  <c r="I520" i="1"/>
  <c r="H520" i="1"/>
  <c r="G520" i="1"/>
  <c r="F520" i="1"/>
  <c r="C21" i="12"/>
  <c r="C20" i="12"/>
  <c r="C19" i="12"/>
  <c r="C10" i="12"/>
  <c r="G530" i="1"/>
  <c r="G204" i="1"/>
  <c r="G202" i="1"/>
  <c r="B20" i="12" l="1"/>
  <c r="B21" i="12"/>
  <c r="B11" i="12"/>
  <c r="B10" i="12"/>
  <c r="H206" i="1"/>
  <c r="H203" i="1"/>
  <c r="I202" i="1"/>
  <c r="F202" i="1"/>
  <c r="F201" i="1"/>
  <c r="F530" i="1"/>
  <c r="F501" i="1"/>
  <c r="F496" i="1"/>
  <c r="H471" i="1"/>
  <c r="H467" i="1"/>
  <c r="F109" i="1"/>
  <c r="F29" i="1"/>
  <c r="F28" i="1"/>
  <c r="F12" i="1"/>
  <c r="F9" i="1"/>
  <c r="J95" i="1"/>
  <c r="G439" i="1"/>
  <c r="F43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C7" i="13"/>
  <c r="J616" i="1"/>
  <c r="L256" i="1" l="1"/>
  <c r="L270" i="1" s="1"/>
  <c r="G631" i="1" s="1"/>
  <c r="J631" i="1" s="1"/>
  <c r="J648" i="1"/>
  <c r="E13" i="13"/>
  <c r="C13" i="13" s="1"/>
  <c r="F544" i="1"/>
  <c r="L289" i="1"/>
  <c r="F659" i="1" s="1"/>
  <c r="G33" i="13"/>
  <c r="J649" i="1"/>
  <c r="A22" i="12"/>
  <c r="F139" i="1"/>
  <c r="J641" i="1"/>
  <c r="E90" i="2"/>
  <c r="L361" i="1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F143" i="2"/>
  <c r="F144" i="2" s="1"/>
  <c r="J647" i="1" l="1"/>
  <c r="K551" i="1"/>
  <c r="F192" i="1"/>
  <c r="G626" i="1" s="1"/>
  <c r="J626" i="1" s="1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C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5" i="10" l="1"/>
  <c r="C30" i="10"/>
  <c r="D17" i="10"/>
  <c r="D11" i="10"/>
  <c r="D23" i="10"/>
  <c r="D24" i="10"/>
  <c r="D22" i="10"/>
  <c r="D15" i="10"/>
  <c r="D19" i="10"/>
  <c r="D16" i="10"/>
  <c r="D12" i="10"/>
  <c r="D21" i="10"/>
  <c r="D18" i="10"/>
  <c r="D20" i="10"/>
  <c r="D26" i="10"/>
  <c r="D13" i="10"/>
  <c r="D10" i="10"/>
  <c r="D27" i="10"/>
  <c r="D41" i="10"/>
  <c r="I666" i="1"/>
  <c r="I671" i="1"/>
  <c r="C7" i="10" s="1"/>
  <c r="G671" i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<sst xmlns="http://schemas.openxmlformats.org/spreadsheetml/2006/main" count="3948" uniqueCount="915">
  <si>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</si>
  <si>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</si>
  <si>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</si>
  <si>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</si>
  <si>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</si>
  <si>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</si>
  <si>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</si>
  <si>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</si>
  <si>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</si>
  <si>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</si>
  <si>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</si>
  <si>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</si>
  <si>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</si>
  <si>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</si>
  <si>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</si>
  <si>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</si>
  <si>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</si>
  <si>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</si>
  <si>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</si>
  <si>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</si>
  <si>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</si>
  <si>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</si>
  <si>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</si>
  <si>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</si>
  <si>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</si>
  <si>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</si>
  <si>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</si>
  <si>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</si>
  <si>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</si>
  <si>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</si>
  <si>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</si>
  <si>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</si>
  <si>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</si>
  <si>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</si>
  <si>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</si>
  <si>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</si>
  <si>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</si>
  <si>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</si>
  <si>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</si>
  <si>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</si>
  <si>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</si>
  <si>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</si>
  <si>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</si>
  <si>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</si>
  <si>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</si>
  <si>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</si>
  <si>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</si>
  <si>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</si>
  <si>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</si>
  <si>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</si>
  <si>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</si>
  <si>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</si>
  <si>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</si>
  <si>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</si>
  <si>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</si>
  <si>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</si>
  <si>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</si>
  <si>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</si>
  <si>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</si>
  <si>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</si>
  <si>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</si>
  <si>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</si>
  <si>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</si>
  <si>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</si>
  <si>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</si>
  <si>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</si>
  <si>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</si>
  <si>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</si>
  <si>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</si>
  <si>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</si>
  <si>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</si>
  <si>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</si>
  <si>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</si>
  <si>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</si>
  <si>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</si>
  <si>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</si>
  <si>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</si>
  <si>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</si>
  <si>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</si>
  <si>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</si>
  <si>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</si>
  <si>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</si>
  <si>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</si>
  <si>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</si>
  <si>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</si>
  <si>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</si>
  <si>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</si>
  <si>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</si>
  <si>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</si>
  <si>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</si>
  <si>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</si>
  <si>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</si>
  <si>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</si>
  <si>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</si>
  <si>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</si>
  <si>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</si>
  <si>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</si>
  <si>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</si>
  <si>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</si>
  <si>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</si>
  <si>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</si>
  <si>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</si>
  <si>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</si>
  <si>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</si>
  <si>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</si>
  <si>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</si>
  <si>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</si>
  <si>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</si>
  <si>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</si>
  <si>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</si>
  <si>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</si>
  <si>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</si>
  <si>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</si>
  <si>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</si>
  <si>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</si>
  <si>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</si>
  <si>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</si>
  <si>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</si>
  <si>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</si>
  <si>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</si>
  <si>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</si>
  <si>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</si>
  <si>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</si>
  <si>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</si>
  <si>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</si>
  <si>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</si>
  <si>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</si>
  <si>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</si>
  <si>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</si>
  <si>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</si>
  <si>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</si>
  <si>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</si>
  <si>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</si>
  <si>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</si>
  <si>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</si>
  <si>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</si>
  <si>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</si>
  <si>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</si>
  <si>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</si>
  <si>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</si>
  <si>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</si>
  <si>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</si>
  <si>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</si>
  <si>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</si>
  <si>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</si>
  <si>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</si>
  <si>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</si>
  <si>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</si>
  <si>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</si>
  <si>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</si>
  <si>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</si>
  <si>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</si>
  <si>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</si>
  <si>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</si>
  <si>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</si>
  <si>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</si>
  <si>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</si>
  <si>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</si>
  <si>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</si>
  <si>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</si>
  <si>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</si>
  <si>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</si>
  <si>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</si>
  <si>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</si>
  <si>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</si>
  <si>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</si>
  <si>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</si>
  <si>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</si>
  <si>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</si>
  <si>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</si>
  <si>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</si>
  <si>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</si>
  <si>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</si>
  <si>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</si>
  <si>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</si>
  <si>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</si>
  <si>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</si>
  <si>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</si>
  <si>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</si>
  <si>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</si>
  <si>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</si>
  <si>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</si>
  <si>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</si>
  <si>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</si>
  <si>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</si>
  <si>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</si>
  <si>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</si>
  <si>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</si>
  <si>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</si>
  <si>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</si>
  <si>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</si>
  <si>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</si>
  <si>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</si>
  <si>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</si>
  <si>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</si>
  <si>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</si>
  <si>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</si>
  <si>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</si>
  <si>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</si>
  <si>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</si>
  <si>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</si>
  <si>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</si>
  <si>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</si>
  <si>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</si>
  <si>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</si>
  <si>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</si>
  <si>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</si>
  <si>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</si>
  <si>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</si>
  <si>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</si>
  <si>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</si>
  <si>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</si>
  <si>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</si>
  <si>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</si>
  <si>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</si>
  <si>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</si>
  <si>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</si>
  <si>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</si>
  <si>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</si>
  <si>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</si>
  <si>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</si>
  <si>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</si>
  <si>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</si>
  <si>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</si>
  <si>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</si>
  <si>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</si>
  <si>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</si>
  <si>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</si>
  <si>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</si>
  <si>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</si>
  <si>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</si>
  <si>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</si>
  <si>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</si>
  <si>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</si>
  <si>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</si>
  <si>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</si>
  <si>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</si>
  <si>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</si>
  <si>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</si>
  <si>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</si>
  <si>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</si>
  <si>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</si>
  <si>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</si>
  <si>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</si>
  <si>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</si>
  <si>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</si>
  <si>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</si>
  <si>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</si>
  <si>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</si>
  <si>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</si>
  <si>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</si>
  <si>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</si>
  <si>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</si>
  <si>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</si>
  <si>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</si>
  <si>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</si>
  <si>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</si>
  <si>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</si>
  <si>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</si>
  <si>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</si>
  <si>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</si>
  <si>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</si>
  <si>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</si>
  <si>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</si>
  <si>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</si>
  <si>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</si>
  <si>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</si>
  <si>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</si>
  <si>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</si>
  <si>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</si>
  <si>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</si>
  <si>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</si>
  <si>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</si>
  <si>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</si>
  <si>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</si>
  <si>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</si>
  <si>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</si>
  <si>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</si>
  <si>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</si>
  <si>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</si>
  <si>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</si>
  <si>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</si>
  <si>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</si>
  <si>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</si>
  <si>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</si>
  <si>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</si>
  <si>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</si>
  <si>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</si>
  <si>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</si>
  <si>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</si>
  <si>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</si>
  <si>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</si>
  <si>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</si>
  <si>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</si>
  <si>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</si>
  <si>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</si>
  <si>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</si>
  <si>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</si>
  <si>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</si>
  <si>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</si>
  <si>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</si>
  <si>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</si>
  <si>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</si>
  <si>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</si>
  <si>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</si>
  <si>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</si>
  <si>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</si>
  <si>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</si>
  <si>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</si>
  <si>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</si>
  <si>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</si>
  <si>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</si>
  <si>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</si>
  <si>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</si>
  <si>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</si>
  <si>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</si>
  <si>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</si>
  <si>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</si>
  <si>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</si>
  <si>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</si>
  <si>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</si>
  <si>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</si>
  <si>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</si>
  <si>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</si>
  <si>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</si>
  <si>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</si>
  <si>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</si>
  <si>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</si>
  <si>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</si>
  <si>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</si>
  <si>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</si>
  <si>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</si>
  <si>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</si>
  <si>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</si>
  <si>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</si>
  <si>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</si>
  <si>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</si>
  <si>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</si>
  <si>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</si>
  <si>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</si>
  <si>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</si>
  <si>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</si>
  <si>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</si>
  <si>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</si>
  <si>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</si>
  <si>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</si>
  <si>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</si>
  <si>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</si>
  <si>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</si>
  <si>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</si>
  <si>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</si>
  <si>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</si>
  <si>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</si>
  <si>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</si>
  <si>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</si>
  <si>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</si>
  <si>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</si>
  <si>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</si>
  <si>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</si>
  <si>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</si>
  <si>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</si>
  <si>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</si>
  <si>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</si>
  <si>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</si>
  <si>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</si>
  <si>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</si>
  <si>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</si>
  <si>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</si>
  <si>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</si>
  <si>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</si>
  <si>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</si>
  <si>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</si>
  <si>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</si>
  <si>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</si>
  <si>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</si>
  <si>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</si>
  <si>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</si>
  <si>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</si>
  <si>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</si>
  <si>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</si>
  <si>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</si>
  <si>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</si>
  <si>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</si>
  <si>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</si>
  <si>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</si>
  <si>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</si>
  <si>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</si>
  <si>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</si>
  <si>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</si>
  <si>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</si>
  <si>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</si>
  <si>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</si>
  <si>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</si>
  <si>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</si>
  <si>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</si>
  <si>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</si>
  <si>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</si>
  <si>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</si>
  <si>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</si>
  <si>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</si>
  <si>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</si>
  <si>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</si>
  <si>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</si>
  <si>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</si>
  <si>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</si>
  <si>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</si>
  <si>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</si>
  <si>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</si>
  <si>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</si>
  <si>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</si>
  <si>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</si>
  <si>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</si>
  <si>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</si>
  <si>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</si>
  <si>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</si>
  <si>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</si>
  <si>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</si>
  <si>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</si>
  <si>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</si>
  <si>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</si>
  <si>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</si>
  <si>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</si>
  <si>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</si>
  <si>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</si>
  <si>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</si>
  <si>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</si>
  <si>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</si>
  <si>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</si>
  <si>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</si>
  <si>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</si>
  <si>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</si>
  <si>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</si>
  <si>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</si>
  <si>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</si>
  <si>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</si>
  <si>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</si>
  <si>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</si>
  <si>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</si>
  <si>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</si>
  <si>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</si>
  <si>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</si>
  <si>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</si>
  <si>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</si>
  <si>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</si>
  <si>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</si>
  <si>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</si>
  <si>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</si>
  <si>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</si>
  <si>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</si>
  <si>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</si>
  <si>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</si>
  <si>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</si>
  <si>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</si>
  <si>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</si>
  <si>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</si>
  <si>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</si>
  <si>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</si>
  <si>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</si>
  <si>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</si>
  <si>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</si>
  <si>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</si>
  <si>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</si>
  <si>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</si>
  <si>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</si>
  <si>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</si>
  <si>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</si>
  <si>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</si>
  <si>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</si>
  <si>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</si>
  <si>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</si>
  <si>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</si>
  <si>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</si>
  <si>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</si>
  <si>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</si>
  <si>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</si>
  <si>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</si>
  <si>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</si>
  <si>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</si>
  <si>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</si>
  <si>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</si>
  <si>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</si>
  <si>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</si>
  <si>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</si>
  <si>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</si>
  <si>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</si>
  <si>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</si>
  <si>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</si>
  <si>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</si>
  <si>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</si>
  <si>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</si>
  <si>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</si>
  <si>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</si>
  <si>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</si>
  <si>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</si>
  <si>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</si>
  <si>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</si>
  <si>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</si>
  <si>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</si>
  <si>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</si>
  <si>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</si>
  <si>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</si>
  <si>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</si>
  <si>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</si>
  <si>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</si>
  <si>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</si>
  <si>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</si>
  <si>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</si>
  <si>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</si>
  <si>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</si>
  <si>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</si>
  <si>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</si>
  <si>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</si>
  <si>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</si>
  <si>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</si>
  <si>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</si>
  <si>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</si>
  <si>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</si>
  <si>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</si>
  <si>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</si>
  <si>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</si>
  <si>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</si>
  <si>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</si>
  <si>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</si>
  <si>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</si>
  <si>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</si>
  <si>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</si>
  <si>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</si>
  <si>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</si>
  <si>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</si>
  <si>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</si>
  <si>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</si>
  <si>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</si>
  <si>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</si>
  <si>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</si>
  <si>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</si>
  <si>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</si>
  <si>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</si>
  <si>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</si>
  <si>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</si>
  <si>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</si>
  <si>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</si>
  <si>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</si>
  <si>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</si>
  <si>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</si>
  <si>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</si>
  <si>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</si>
  <si>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</si>
  <si>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</si>
  <si>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</si>
  <si>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</si>
  <si>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</si>
  <si>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</si>
  <si>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</si>
  <si>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</si>
  <si>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</si>
  <si>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</si>
  <si>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</si>
  <si>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</si>
  <si>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</si>
  <si>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</si>
  <si>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</si>
  <si>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</si>
  <si>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</si>
  <si>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</si>
  <si>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</si>
  <si>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</si>
  <si>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</si>
  <si>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</si>
  <si>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</si>
  <si>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</si>
  <si>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</si>
  <si>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</si>
  <si>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</si>
  <si>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</si>
  <si>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</si>
  <si>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</si>
  <si>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</si>
  <si>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</si>
  <si>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</si>
  <si>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</si>
  <si>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</si>
  <si>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</si>
  <si>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</si>
  <si>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</si>
  <si>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</si>
  <si>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</si>
  <si>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</si>
  <si>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</si>
  <si>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</si>
  <si>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</si>
  <si>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</si>
  <si>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</si>
  <si>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</si>
  <si>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</si>
  <si>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</si>
  <si>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</si>
  <si>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</si>
  <si>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</si>
  <si>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</si>
  <si>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</si>
  <si>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</si>
  <si>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</si>
  <si>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</si>
  <si>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</si>
  <si>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</si>
  <si>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</si>
  <si>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</si>
  <si>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</si>
  <si>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</si>
  <si>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</si>
  <si>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</si>
  <si>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</si>
  <si>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</si>
  <si>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</si>
  <si>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</si>
  <si>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</si>
  <si>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</si>
  <si>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</si>
  <si>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</si>
  <si>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</si>
  <si>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</si>
  <si>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</si>
  <si>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</si>
  <si>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</si>
  <si>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</si>
  <si>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</si>
  <si>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</si>
  <si>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</si>
  <si>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</si>
  <si>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</si>
  <si>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</si>
  <si>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</si>
  <si>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</si>
  <si>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</si>
  <si>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</si>
  <si>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</si>
  <si>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</si>
  <si>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</si>
  <si>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</si>
  <si>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</si>
  <si>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</si>
  <si>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</si>
  <si>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</si>
  <si>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</si>
  <si>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</si>
  <si>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</si>
  <si>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</si>
  <si>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</si>
  <si>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</si>
  <si>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</si>
  <si>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</si>
  <si>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</si>
  <si>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</si>
  <si>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</si>
  <si>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</si>
  <si>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</si>
  <si>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</si>
  <si>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</si>
  <si>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</si>
  <si>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</si>
  <si>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</si>
  <si>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</si>
  <si>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</si>
  <si>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</si>
  <si>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</si>
  <si>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</si>
  <si>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</si>
  <si>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</si>
  <si>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</si>
  <si>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</si>
  <si>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</si>
  <si>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</si>
  <si>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</si>
  <si>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</si>
  <si>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</si>
  <si>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</si>
  <si>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</si>
  <si>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</si>
  <si>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</si>
  <si>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</si>
  <si>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</si>
  <si>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</si>
  <si>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</si>
  <si>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</si>
  <si>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</si>
  <si>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</si>
  <si>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</si>
  <si>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</si>
  <si>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</si>
  <si>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</si>
  <si>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</si>
  <si>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</si>
  <si>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</si>
  <si>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</si>
  <si>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</si>
  <si>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</si>
  <si>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</si>
  <si>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</si>
  <si>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</si>
  <si>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</si>
  <si>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</si>
  <si>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</si>
  <si>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</si>
  <si>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</si>
  <si>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</si>
  <si>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</si>
  <si>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</si>
  <si>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</si>
  <si>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</si>
  <si>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</si>
  <si>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</si>
  <si>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</si>
  <si>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</si>
  <si>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</si>
  <si>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</si>
  <si>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</si>
  <si>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</si>
  <si>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</si>
  <si>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</si>
  <si>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</si>
  <si>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</si>
  <si>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</si>
  <si>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</si>
  <si>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</si>
  <si>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</si>
  <si>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</si>
  <si>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</si>
  <si>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</si>
  <si>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</si>
  <si>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</si>
  <si>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</si>
  <si>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</si>
  <si>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</si>
  <si>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</si>
  <si>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</si>
  <si>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</si>
  <si>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</si>
  <si>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</si>
  <si>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</si>
  <si>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</si>
  <si>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</si>
  <si>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</si>
  <si>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</si>
  <si>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</si>
  <si>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</si>
  <si>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</si>
  <si>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</si>
  <si>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</si>
  <si>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</si>
  <si>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</si>
  <si>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</si>
  <si>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</si>
  <si>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</si>
  <si>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</si>
  <si>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</si>
  <si>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</si>
  <si>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</si>
  <si>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</si>
  <si>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</si>
  <si>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</si>
  <si>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</si>
  <si>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</si>
  <si>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</si>
  <si>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</si>
  <si>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</si>
  <si>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</si>
  <si>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</si>
  <si>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</si>
  <si>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</si>
  <si>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</si>
  <si>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</si>
  <si>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</si>
  <si>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</si>
  <si>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</si>
  <si>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</si>
  <si>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</si>
  <si>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</si>
  <si>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</si>
  <si>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</si>
  <si>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</si>
  <si>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</si>
  <si>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</si>
  <si>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</si>
  <si>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</si>
  <si>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</si>
  <si>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</si>
  <si>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</si>
  <si>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</si>
  <si>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</si>
  <si>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</si>
  <si>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</si>
  <si>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</si>
  <si>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</si>
  <si>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</si>
  <si>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</si>
  <si>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</si>
  <si>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</si>
  <si>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</si>
  <si>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</si>
  <si>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</si>
  <si>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</si>
  <si>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</si>
  <si>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</si>
  <si>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</si>
  <si>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</si>
  <si>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</si>
  <si>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</si>
  <si>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</si>
  <si>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</si>
  <si>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</si>
  <si>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</si>
  <si>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</si>
  <si>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</si>
  <si>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</si>
  <si>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</si>
  <si>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</si>
  <si>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</si>
  <si>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</si>
  <si>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</si>
  <si>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</si>
  <si>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</si>
  <si>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</si>
  <si>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</si>
  <si>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</si>
  <si>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</si>
  <si>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</si>
  <si>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</si>
  <si>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</si>
  <si>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</si>
  <si>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</si>
  <si>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</si>
  <si>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</si>
  <si>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</si>
  <si>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</si>
  <si>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</si>
  <si>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</si>
  <si>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</si>
  <si>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</si>
  <si>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</si>
  <si>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</si>
  <si>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</si>
  <si>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</si>
  <si>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</si>
  <si>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</si>
  <si>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</si>
  <si>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</si>
  <si>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</si>
  <si>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</si>
  <si>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</si>
  <si>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</si>
  <si>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</si>
  <si>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</si>
  <si>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</si>
  <si>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</si>
  <si>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</si>
  <si>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</si>
  <si>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</si>
  <si>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</si>
  <si>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</si>
  <si>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</si>
  <si>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</si>
  <si>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</si>
  <si>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</si>
  <si>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</si>
  <si>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</si>
  <si>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</si>
  <si>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</si>
  <si>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</si>
  <si>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</si>
  <si>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</si>
  <si>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</si>
  <si>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</si>
  <si>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</si>
  <si>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</si>
  <si>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</si>
  <si>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</si>
  <si>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</si>
  <si>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</si>
  <si>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</si>
  <si>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</si>
  <si>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</si>
  <si>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</si>
  <si>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</si>
  <si>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</si>
  <si>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</si>
  <si>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</si>
  <si>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</si>
  <si>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</si>
  <si>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</si>
  <si>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</si>
  <si>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</si>
  <si>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</si>
  <si>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</si>
  <si>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</si>
  <si>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</si>
  <si>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</si>
  <si>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</si>
  <si>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</si>
  <si>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</si>
  <si>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</si>
  <si>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</si>
  <si>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</si>
  <si>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</si>
  <si>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</si>
  <si>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</si>
  <si>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</si>
  <si>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</si>
  <si>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</si>
  <si>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</si>
  <si>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SOUTH HAMPTON</t>
  </si>
  <si>
    <t>Audit Adjustment</t>
  </si>
  <si>
    <t>August 2000</t>
  </si>
  <si>
    <t>August 2015</t>
  </si>
  <si>
    <t xml:space="preserve"> Adjustment for Voc School receivable</t>
  </si>
  <si>
    <t>EDJOBS REVENUE &amp; EXPENDITURES $10,036.56 RECORDED UNDER SPECIAL REVENUE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</si>
</sst>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495</v>
      </c>
      <c r="C2" s="21">
        <v>495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124789+200</f>
        <v>124989</v>
      </c>
      <c r="G9" s="18"/>
      <c r="H9" s="18"/>
      <c r="I9" s="18">
        <v>22.33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28965.4</v>
      </c>
      <c r="G10" s="18"/>
      <c r="H10" s="18"/>
      <c r="I10" s="18">
        <v>42040.9</v>
      </c>
      <c r="J10" s="67">
        <f>SUM(I439)</f>
        <v>132704.41999999998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7375.53+1.8</f>
        <v>7377.33</v>
      </c>
      <c r="G12" s="18"/>
      <c r="H12" s="18">
        <v>7375.53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793.87</v>
      </c>
      <c r="G13" s="18">
        <v>1.8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471.6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162597.19999999998</v>
      </c>
      <c r="G19" s="41">
        <f>SUM(G9:G18)</f>
        <v>1.8</v>
      </c>
      <c r="H19" s="41">
        <f>SUM(H9:H18)</f>
        <v>7375.53</v>
      </c>
      <c r="I19" s="41">
        <f>SUM(I9:I18)</f>
        <v>42063.23</v>
      </c>
      <c r="J19" s="41">
        <f>SUM(J9:J18)</f>
        <v>132704.41999999998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1.8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12394.19</v>
      </c>
      <c r="G23" s="18"/>
      <c r="H23" s="18">
        <v>7375.53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3008.21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1338.41</f>
        <v>1338.41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2876.84+417.44</f>
        <v>3294.28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20035.09</v>
      </c>
      <c r="G32" s="41">
        <f>SUM(G22:G31)</f>
        <v>1.8</v>
      </c>
      <c r="H32" s="41">
        <f>SUM(H22:H31)</f>
        <v>7375.53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305.99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569.02</v>
      </c>
      <c r="G47" s="18"/>
      <c r="H47" s="18"/>
      <c r="I47" s="18">
        <v>42063.23</v>
      </c>
      <c r="J47" s="13">
        <f>SUM(I458)</f>
        <v>132704.41999999998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116687.1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142562.11000000002</v>
      </c>
      <c r="G50" s="41">
        <f>SUM(G35:G49)</f>
        <v>0</v>
      </c>
      <c r="H50" s="41">
        <f>SUM(H35:H49)</f>
        <v>0</v>
      </c>
      <c r="I50" s="41">
        <f>SUM(I35:I49)</f>
        <v>42063.23</v>
      </c>
      <c r="J50" s="41">
        <f>SUM(J35:J49)</f>
        <v>132704.41999999998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162597.20000000001</v>
      </c>
      <c r="G51" s="41">
        <f>G50+G32</f>
        <v>1.8</v>
      </c>
      <c r="H51" s="41">
        <f>H50+H32</f>
        <v>7375.53</v>
      </c>
      <c r="I51" s="41">
        <f>I50+I32</f>
        <v>42063.23</v>
      </c>
      <c r="J51" s="41">
        <f>J50+J32</f>
        <v>132704.41999999998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1399539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1399539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143.11000000000001</v>
      </c>
      <c r="G95" s="18"/>
      <c r="H95" s="18"/>
      <c r="I95" s="18">
        <v>22.33</v>
      </c>
      <c r="J95" s="18">
        <f>101.79</f>
        <v>101.79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1060.56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750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2574.54+23.71</f>
        <v>2598.25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3491.36</v>
      </c>
      <c r="G110" s="41">
        <f>SUM(G95:G109)</f>
        <v>1060.56</v>
      </c>
      <c r="H110" s="41">
        <f>SUM(H95:H109)</f>
        <v>0</v>
      </c>
      <c r="I110" s="41">
        <f>SUM(I95:I109)</f>
        <v>22.33</v>
      </c>
      <c r="J110" s="41">
        <f>SUM(J95:J109)</f>
        <v>101.79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1403030.36</v>
      </c>
      <c r="G111" s="41">
        <f>G59+G110</f>
        <v>1060.56</v>
      </c>
      <c r="H111" s="41">
        <f>H59+H78+H93+H110</f>
        <v>0</v>
      </c>
      <c r="I111" s="41">
        <f>I59+I110</f>
        <v>22.33</v>
      </c>
      <c r="J111" s="41">
        <f>J59+J110</f>
        <v>101.79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113857.35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350721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98.65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464677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40160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12035.38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41026.94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1630.8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2.0099999999999998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94853.12000000001</v>
      </c>
      <c r="G135" s="41">
        <f>SUM(G122:G134)</f>
        <v>2.0099999999999998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559530.12</v>
      </c>
      <c r="G139" s="41">
        <f>G120+SUM(G135:G136)</f>
        <v>2.0099999999999998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10036.56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10036.56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6581.62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18.09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23555.3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18.09</v>
      </c>
      <c r="H161" s="41">
        <f>SUM(H149:H160)</f>
        <v>30136.92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18.09</v>
      </c>
      <c r="H168" s="41">
        <f>H146+H161+SUM(H162:H167)</f>
        <v>40173.479999999996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300.52999999999997</v>
      </c>
      <c r="H178" s="18"/>
      <c r="I178" s="18"/>
      <c r="J178" s="18">
        <v>32000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300.52999999999997</v>
      </c>
      <c r="H182" s="41">
        <f>SUM(H178:H181)</f>
        <v>0</v>
      </c>
      <c r="I182" s="41">
        <f>SUM(I178:I181)</f>
        <v>0</v>
      </c>
      <c r="J182" s="41">
        <f>SUM(J178:J181)</f>
        <v>32000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300.52999999999997</v>
      </c>
      <c r="H191" s="41">
        <f>+H182+SUM(H187:H190)</f>
        <v>0</v>
      </c>
      <c r="I191" s="41">
        <f>I176+I182+SUM(I187:I190)</f>
        <v>0</v>
      </c>
      <c r="J191" s="41">
        <f>J182</f>
        <v>32000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1962560.48</v>
      </c>
      <c r="G192" s="47">
        <f>G111+G139+G168+G191</f>
        <v>1381.1899999999998</v>
      </c>
      <c r="H192" s="47">
        <f>H111+H139+H168+H191</f>
        <v>40173.479999999996</v>
      </c>
      <c r="I192" s="47">
        <f>I111+I139+I168+I191</f>
        <v>22.33</v>
      </c>
      <c r="J192" s="47">
        <f>J111+J139+J191</f>
        <v>32101.79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446966.56</v>
      </c>
      <c r="G196" s="18">
        <v>159487.1</v>
      </c>
      <c r="H196" s="18">
        <v>4955.6000000000004</v>
      </c>
      <c r="I196" s="18">
        <v>13513.16</v>
      </c>
      <c r="J196" s="18">
        <v>1068.32</v>
      </c>
      <c r="K196" s="18"/>
      <c r="L196" s="19">
        <f>SUM(F196:K196)</f>
        <v>625990.74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133340.54</v>
      </c>
      <c r="G197" s="18">
        <v>45206.6</v>
      </c>
      <c r="H197" s="18">
        <v>183185.61</v>
      </c>
      <c r="I197" s="18">
        <v>271.83</v>
      </c>
      <c r="J197" s="18"/>
      <c r="K197" s="18">
        <v>515</v>
      </c>
      <c r="L197" s="19">
        <f>SUM(F197:K197)</f>
        <v>362519.58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9433</v>
      </c>
      <c r="G199" s="18">
        <v>780.11</v>
      </c>
      <c r="H199" s="18">
        <v>2335</v>
      </c>
      <c r="I199" s="18">
        <v>1353.41</v>
      </c>
      <c r="J199" s="18"/>
      <c r="K199" s="18"/>
      <c r="L199" s="19">
        <f>SUM(F199:K199)</f>
        <v>13901.52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9118.34+288.38</f>
        <v>9406.7199999999993</v>
      </c>
      <c r="G201" s="18">
        <v>777.94</v>
      </c>
      <c r="H201" s="18">
        <v>331.25</v>
      </c>
      <c r="I201" s="18">
        <v>239.8</v>
      </c>
      <c r="J201" s="18"/>
      <c r="K201" s="18"/>
      <c r="L201" s="19">
        <f t="shared" ref="L201:L207" si="0">SUM(F201:K201)</f>
        <v>10755.71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1600+28829</f>
        <v>30429</v>
      </c>
      <c r="G202" s="18">
        <f>3755.9+2516.48</f>
        <v>6272.38</v>
      </c>
      <c r="H202" s="18">
        <v>6386.07</v>
      </c>
      <c r="I202" s="18">
        <f>1093.83+13850.44</f>
        <v>14944.27</v>
      </c>
      <c r="J202" s="18">
        <v>18467.36</v>
      </c>
      <c r="K202" s="18"/>
      <c r="L202" s="19">
        <f t="shared" si="0"/>
        <v>76499.08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7008</v>
      </c>
      <c r="G203" s="18">
        <v>536.11</v>
      </c>
      <c r="H203" s="18">
        <f>12708.4+34932</f>
        <v>47640.4</v>
      </c>
      <c r="I203" s="18">
        <v>1428.66</v>
      </c>
      <c r="J203" s="18"/>
      <c r="K203" s="18">
        <v>3413.02</v>
      </c>
      <c r="L203" s="19">
        <f t="shared" si="0"/>
        <v>60026.19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151872.35999999999</v>
      </c>
      <c r="G204" s="18">
        <f>53727.72+999.96</f>
        <v>54727.68</v>
      </c>
      <c r="H204" s="18">
        <v>2268.4499999999998</v>
      </c>
      <c r="I204" s="18"/>
      <c r="J204" s="18"/>
      <c r="K204" s="18">
        <v>720</v>
      </c>
      <c r="L204" s="19">
        <f t="shared" si="0"/>
        <v>209588.49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34481.870000000003</v>
      </c>
      <c r="G206" s="18">
        <v>3316.19</v>
      </c>
      <c r="H206" s="18">
        <f>27575.25+11415</f>
        <v>38990.25</v>
      </c>
      <c r="I206" s="18">
        <v>38149.980000000003</v>
      </c>
      <c r="J206" s="18">
        <v>5959.99</v>
      </c>
      <c r="K206" s="18"/>
      <c r="L206" s="19">
        <f t="shared" si="0"/>
        <v>120898.28000000001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45166.54</v>
      </c>
      <c r="I207" s="18"/>
      <c r="J207" s="18"/>
      <c r="K207" s="18"/>
      <c r="L207" s="19">
        <f t="shared" si="0"/>
        <v>45166.54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200</v>
      </c>
      <c r="L208" s="19">
        <f>SUM(F208:K208)</f>
        <v>200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822938.04999999993</v>
      </c>
      <c r="G210" s="41">
        <f t="shared" si="1"/>
        <v>271104.11</v>
      </c>
      <c r="H210" s="41">
        <f t="shared" si="1"/>
        <v>331259.17</v>
      </c>
      <c r="I210" s="41">
        <f t="shared" si="1"/>
        <v>69901.11</v>
      </c>
      <c r="J210" s="41">
        <f t="shared" si="1"/>
        <v>25495.67</v>
      </c>
      <c r="K210" s="41">
        <f t="shared" si="1"/>
        <v>4848.0200000000004</v>
      </c>
      <c r="L210" s="41">
        <f t="shared" si="1"/>
        <v>1525546.1300000001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302339.76</v>
      </c>
      <c r="I232" s="18"/>
      <c r="J232" s="18"/>
      <c r="K232" s="18"/>
      <c r="L232" s="19">
        <f>SUM(F232:K232)</f>
        <v>302339.76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302339.76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302339.76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822938.04999999993</v>
      </c>
      <c r="G256" s="41">
        <f t="shared" si="8"/>
        <v>271104.11</v>
      </c>
      <c r="H256" s="41">
        <f t="shared" si="8"/>
        <v>633598.92999999993</v>
      </c>
      <c r="I256" s="41">
        <f t="shared" si="8"/>
        <v>69901.11</v>
      </c>
      <c r="J256" s="41">
        <f t="shared" si="8"/>
        <v>25495.67</v>
      </c>
      <c r="K256" s="41">
        <f t="shared" si="8"/>
        <v>4848.0200000000004</v>
      </c>
      <c r="L256" s="41">
        <f t="shared" si="8"/>
        <v>1827885.8900000001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110000</v>
      </c>
      <c r="L259" s="19">
        <f>SUM(F259:K259)</f>
        <v>110000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29060</v>
      </c>
      <c r="L260" s="19">
        <f>SUM(F260:K260)</f>
        <v>29060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300.52999999999997</v>
      </c>
      <c r="L262" s="19">
        <f>SUM(F262:K262)</f>
        <v>300.52999999999997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32000</v>
      </c>
      <c r="L265" s="19">
        <f t="shared" si="9"/>
        <v>32000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171360.53</v>
      </c>
      <c r="L269" s="41">
        <f t="shared" si="9"/>
        <v>171360.53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822938.04999999993</v>
      </c>
      <c r="G270" s="42">
        <f t="shared" si="11"/>
        <v>271104.11</v>
      </c>
      <c r="H270" s="42">
        <f t="shared" si="11"/>
        <v>633598.92999999993</v>
      </c>
      <c r="I270" s="42">
        <f t="shared" si="11"/>
        <v>69901.11</v>
      </c>
      <c r="J270" s="42">
        <f t="shared" si="11"/>
        <v>25495.67</v>
      </c>
      <c r="K270" s="42">
        <f t="shared" si="11"/>
        <v>176208.55</v>
      </c>
      <c r="L270" s="42">
        <f t="shared" si="11"/>
        <v>1999246.4200000002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4344.3100000000004</v>
      </c>
      <c r="G275" s="18">
        <v>332.39</v>
      </c>
      <c r="H275" s="18">
        <v>1859.03</v>
      </c>
      <c r="I275" s="18"/>
      <c r="J275" s="18"/>
      <c r="K275" s="18"/>
      <c r="L275" s="19">
        <f>SUM(F275:K275)</f>
        <v>6535.7300000000005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1794</v>
      </c>
      <c r="G276" s="18">
        <v>211.19</v>
      </c>
      <c r="H276" s="18">
        <v>12755</v>
      </c>
      <c r="I276" s="18">
        <v>4694.26</v>
      </c>
      <c r="J276" s="18">
        <v>3619.8</v>
      </c>
      <c r="K276" s="18"/>
      <c r="L276" s="19">
        <f>SUM(F276:K276)</f>
        <v>23074.25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10036.56</v>
      </c>
      <c r="G280" s="18"/>
      <c r="H280" s="18"/>
      <c r="I280" s="18"/>
      <c r="J280" s="18"/>
      <c r="K280" s="18"/>
      <c r="L280" s="19">
        <f t="shared" ref="L280:L286" si="12">SUM(F280:K280)</f>
        <v>10036.56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526.94000000000005</v>
      </c>
      <c r="L282" s="19">
        <f t="shared" si="12"/>
        <v>526.94000000000005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16174.869999999999</v>
      </c>
      <c r="G289" s="42">
        <f t="shared" si="13"/>
        <v>543.57999999999993</v>
      </c>
      <c r="H289" s="42">
        <f t="shared" si="13"/>
        <v>14614.03</v>
      </c>
      <c r="I289" s="42">
        <f t="shared" si="13"/>
        <v>4694.26</v>
      </c>
      <c r="J289" s="42">
        <f t="shared" si="13"/>
        <v>3619.8</v>
      </c>
      <c r="K289" s="42">
        <f t="shared" si="13"/>
        <v>526.94000000000005</v>
      </c>
      <c r="L289" s="41">
        <f t="shared" si="13"/>
        <v>40173.480000000003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16174.869999999999</v>
      </c>
      <c r="G337" s="41">
        <f t="shared" si="20"/>
        <v>543.57999999999993</v>
      </c>
      <c r="H337" s="41">
        <f t="shared" si="20"/>
        <v>14614.03</v>
      </c>
      <c r="I337" s="41">
        <f t="shared" si="20"/>
        <v>4694.26</v>
      </c>
      <c r="J337" s="41">
        <f t="shared" si="20"/>
        <v>3619.8</v>
      </c>
      <c r="K337" s="41">
        <f t="shared" si="20"/>
        <v>526.94000000000005</v>
      </c>
      <c r="L337" s="41">
        <f t="shared" si="20"/>
        <v>40173.480000000003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16174.869999999999</v>
      </c>
      <c r="G351" s="41">
        <f>G337</f>
        <v>543.57999999999993</v>
      </c>
      <c r="H351" s="41">
        <f>H337</f>
        <v>14614.03</v>
      </c>
      <c r="I351" s="41">
        <f>I337</f>
        <v>4694.26</v>
      </c>
      <c r="J351" s="41">
        <f>J337</f>
        <v>3619.8</v>
      </c>
      <c r="K351" s="47">
        <f>K337+K350</f>
        <v>526.94000000000005</v>
      </c>
      <c r="L351" s="41">
        <f>L337+L350</f>
        <v>40173.480000000003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540</v>
      </c>
      <c r="G357" s="18"/>
      <c r="H357" s="18"/>
      <c r="I357" s="18">
        <v>841.19</v>
      </c>
      <c r="J357" s="18"/>
      <c r="K357" s="18"/>
      <c r="L357" s="13">
        <f>SUM(F357:K357)</f>
        <v>1381.19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540</v>
      </c>
      <c r="G361" s="47">
        <f t="shared" si="22"/>
        <v>0</v>
      </c>
      <c r="H361" s="47">
        <f t="shared" si="22"/>
        <v>0</v>
      </c>
      <c r="I361" s="47">
        <f t="shared" si="22"/>
        <v>841.19</v>
      </c>
      <c r="J361" s="47">
        <f t="shared" si="22"/>
        <v>0</v>
      </c>
      <c r="K361" s="47">
        <f t="shared" si="22"/>
        <v>0</v>
      </c>
      <c r="L361" s="47">
        <f t="shared" si="22"/>
        <v>1381.19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841.19</v>
      </c>
      <c r="G366" s="18"/>
      <c r="H366" s="18"/>
      <c r="I366" s="56">
        <f>SUM(F366:H366)</f>
        <v>841.19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841.19</v>
      </c>
      <c r="G368" s="47">
        <f>SUM(G366:G367)</f>
        <v>0</v>
      </c>
      <c r="H368" s="47">
        <f>SUM(H366:H367)</f>
        <v>0</v>
      </c>
      <c r="I368" s="47">
        <f>SUM(I366:I367)</f>
        <v>841.19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4.32</v>
      </c>
      <c r="I388" s="18"/>
      <c r="J388" s="24" t="s">
        <v>289</v>
      </c>
      <c r="K388" s="24" t="s">
        <v>289</v>
      </c>
      <c r="L388" s="56">
        <f t="shared" si="25"/>
        <v>4.32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4.32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4.32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28.99</v>
      </c>
      <c r="I395" s="18"/>
      <c r="J395" s="24" t="s">
        <v>289</v>
      </c>
      <c r="K395" s="24" t="s">
        <v>289</v>
      </c>
      <c r="L395" s="56">
        <f t="shared" si="26"/>
        <v>10028.99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15000</v>
      </c>
      <c r="H396" s="18">
        <v>62.22</v>
      </c>
      <c r="I396" s="18"/>
      <c r="J396" s="24" t="s">
        <v>289</v>
      </c>
      <c r="K396" s="24" t="s">
        <v>289</v>
      </c>
      <c r="L396" s="56">
        <f t="shared" si="26"/>
        <v>15062.22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7000</v>
      </c>
      <c r="H398" s="18">
        <v>6.26</v>
      </c>
      <c r="I398" s="18"/>
      <c r="J398" s="24" t="s">
        <v>289</v>
      </c>
      <c r="K398" s="24" t="s">
        <v>289</v>
      </c>
      <c r="L398" s="56">
        <f t="shared" si="26"/>
        <v>7006.26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32000</v>
      </c>
      <c r="H400" s="47">
        <f>SUM(H394:H399)</f>
        <v>97.47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32097.47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32000</v>
      </c>
      <c r="H407" s="47">
        <f>H392+H400+H406</f>
        <v>101.78999999999999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32101.79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>
        <v>20478.2</v>
      </c>
      <c r="K424" s="18"/>
      <c r="L424" s="56">
        <f t="shared" si="29"/>
        <v>20478.2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20478.2</v>
      </c>
      <c r="K426" s="47">
        <f t="shared" si="30"/>
        <v>0</v>
      </c>
      <c r="L426" s="47">
        <f t="shared" si="30"/>
        <v>20478.2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20478.2</v>
      </c>
      <c r="K433" s="47">
        <f t="shared" si="32"/>
        <v>0</v>
      </c>
      <c r="L433" s="47">
        <f t="shared" si="32"/>
        <v>20478.2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5669.97+1199.11</f>
        <v>6869.08</v>
      </c>
      <c r="G439" s="18">
        <f>85181.11+40654.23</f>
        <v>125835.34</v>
      </c>
      <c r="H439" s="18"/>
      <c r="I439" s="56">
        <f t="shared" si="33"/>
        <v>132704.41999999998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6869.08</v>
      </c>
      <c r="G445" s="13">
        <f>SUM(G438:G444)</f>
        <v>125835.34</v>
      </c>
      <c r="H445" s="13">
        <f>SUM(H438:H444)</f>
        <v>0</v>
      </c>
      <c r="I445" s="13">
        <f>SUM(I438:I444)</f>
        <v>132704.41999999998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6869.08</v>
      </c>
      <c r="G458" s="18">
        <v>125835.34</v>
      </c>
      <c r="H458" s="18"/>
      <c r="I458" s="56">
        <f t="shared" si="34"/>
        <v>132704.41999999998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6869.08</v>
      </c>
      <c r="G459" s="83">
        <f>SUM(G453:G458)</f>
        <v>125835.34</v>
      </c>
      <c r="H459" s="83">
        <f>SUM(H453:H458)</f>
        <v>0</v>
      </c>
      <c r="I459" s="83">
        <f>SUM(I453:I458)</f>
        <v>132704.41999999998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6869.08</v>
      </c>
      <c r="G460" s="42">
        <f>G451+G459</f>
        <v>125835.34</v>
      </c>
      <c r="H460" s="42">
        <f>H451+H459</f>
        <v>0</v>
      </c>
      <c r="I460" s="42">
        <f>I451+I459</f>
        <v>132704.41999999998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180879.47</v>
      </c>
      <c r="G464" s="18">
        <v>0</v>
      </c>
      <c r="H464" s="18">
        <v>0</v>
      </c>
      <c r="I464" s="18">
        <v>42040.9</v>
      </c>
      <c r="J464" s="18">
        <v>121081.33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1962560.48</v>
      </c>
      <c r="G467" s="18">
        <v>1381.19</v>
      </c>
      <c r="H467" s="18">
        <f>30136.92+10036.56</f>
        <v>40173.479999999996</v>
      </c>
      <c r="I467" s="18">
        <v>22.33</v>
      </c>
      <c r="J467" s="18">
        <v>32101.79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-1631.42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1960929.06</v>
      </c>
      <c r="G469" s="53">
        <f>SUM(G467:G468)</f>
        <v>1381.19</v>
      </c>
      <c r="H469" s="53">
        <f>SUM(H467:H468)</f>
        <v>40173.479999999996</v>
      </c>
      <c r="I469" s="53">
        <f>SUM(I467:I468)</f>
        <v>22.33</v>
      </c>
      <c r="J469" s="53">
        <f>SUM(J467:J468)</f>
        <v>32101.79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1999246.42</v>
      </c>
      <c r="G471" s="18">
        <v>1381.19</v>
      </c>
      <c r="H471" s="18">
        <f>30136.92+10036.56</f>
        <v>40173.479999999996</v>
      </c>
      <c r="I471" s="18">
        <v>0</v>
      </c>
      <c r="J471" s="18">
        <v>20478.2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>
        <v>0.5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1999246.42</v>
      </c>
      <c r="G473" s="53">
        <f>SUM(G471:G472)</f>
        <v>1381.19</v>
      </c>
      <c r="H473" s="53">
        <f>SUM(H471:H472)</f>
        <v>40173.479999999996</v>
      </c>
      <c r="I473" s="53">
        <f>SUM(I471:I472)</f>
        <v>0</v>
      </c>
      <c r="J473" s="53">
        <f>SUM(J471:J472)</f>
        <v>20478.7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142562.11000000034</v>
      </c>
      <c r="G475" s="53">
        <f>(G464+G469)- G473</f>
        <v>0</v>
      </c>
      <c r="H475" s="53">
        <f>(H464+H469)- H473</f>
        <v>0</v>
      </c>
      <c r="I475" s="53">
        <f>(I464+I469)- I473</f>
        <v>42063.23</v>
      </c>
      <c r="J475" s="53">
        <f>(J464+J469)- J473</f>
        <v>132704.41999999998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 t="s">
        <v>913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1430000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610000</v>
      </c>
      <c r="G494" s="18"/>
      <c r="H494" s="18"/>
      <c r="I494" s="18"/>
      <c r="J494" s="18"/>
      <c r="K494" s="53">
        <f>SUM(F494:J494)</f>
        <v>610000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110000+15960+13100</f>
        <v>139060</v>
      </c>
      <c r="G496" s="18"/>
      <c r="H496" s="18"/>
      <c r="I496" s="18"/>
      <c r="J496" s="18"/>
      <c r="K496" s="53">
        <f t="shared" si="35"/>
        <v>139060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500000</v>
      </c>
      <c r="G497" s="205"/>
      <c r="H497" s="205"/>
      <c r="I497" s="205"/>
      <c r="J497" s="205"/>
      <c r="K497" s="206">
        <f t="shared" si="35"/>
        <v>500000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54455</v>
      </c>
      <c r="G498" s="18"/>
      <c r="H498" s="18"/>
      <c r="I498" s="18"/>
      <c r="J498" s="18"/>
      <c r="K498" s="53">
        <f t="shared" si="35"/>
        <v>54455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554455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554455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115000</v>
      </c>
      <c r="G500" s="205"/>
      <c r="H500" s="205"/>
      <c r="I500" s="205"/>
      <c r="J500" s="205"/>
      <c r="K500" s="206">
        <f t="shared" si="35"/>
        <v>115000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13100+10110</f>
        <v>23210</v>
      </c>
      <c r="G501" s="18"/>
      <c r="H501" s="18"/>
      <c r="I501" s="18"/>
      <c r="J501" s="18"/>
      <c r="K501" s="53">
        <f t="shared" si="35"/>
        <v>23210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138210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138210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22323.7+38796.64+1794</f>
        <v>62914.34</v>
      </c>
      <c r="G520" s="18">
        <f>5372.11+3208.48+211.19</f>
        <v>8791.7800000000007</v>
      </c>
      <c r="H520" s="18">
        <f>183185.61-517.5+12755</f>
        <v>195423.11</v>
      </c>
      <c r="I520" s="18">
        <f>271.83+4694.26</f>
        <v>4966.09</v>
      </c>
      <c r="J520" s="18">
        <v>3619.8</v>
      </c>
      <c r="K520" s="18"/>
      <c r="L520" s="88">
        <f>SUM(F520:K520)</f>
        <v>275715.12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62914.34</v>
      </c>
      <c r="G523" s="108">
        <f t="shared" ref="G523:L523" si="36">SUM(G520:G522)</f>
        <v>8791.7800000000007</v>
      </c>
      <c r="H523" s="108">
        <f t="shared" si="36"/>
        <v>195423.11</v>
      </c>
      <c r="I523" s="108">
        <f t="shared" si="36"/>
        <v>4966.09</v>
      </c>
      <c r="J523" s="108">
        <f t="shared" si="36"/>
        <v>3619.8</v>
      </c>
      <c r="K523" s="108">
        <f t="shared" si="36"/>
        <v>0</v>
      </c>
      <c r="L523" s="89">
        <f t="shared" si="36"/>
        <v>275715.12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68361.02+3859.18</f>
        <v>72220.2</v>
      </c>
      <c r="G530" s="18">
        <f>35953.35+672.66</f>
        <v>36626.01</v>
      </c>
      <c r="H530" s="18"/>
      <c r="I530" s="18"/>
      <c r="J530" s="18"/>
      <c r="K530" s="18">
        <f>515+481.05</f>
        <v>996.05</v>
      </c>
      <c r="L530" s="88">
        <f>SUM(F530:K530)</f>
        <v>109842.26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72220.2</v>
      </c>
      <c r="G533" s="89">
        <f t="shared" ref="G533:L533" si="38">SUM(G530:G532)</f>
        <v>36626.01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996.05</v>
      </c>
      <c r="L533" s="89">
        <f t="shared" si="38"/>
        <v>109842.26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517.5</v>
      </c>
      <c r="I535" s="18"/>
      <c r="J535" s="18"/>
      <c r="K535" s="18"/>
      <c r="L535" s="88">
        <f>SUM(F535:K535)</f>
        <v>517.5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517.5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517.5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135134.53999999998</v>
      </c>
      <c r="G544" s="89">
        <f t="shared" ref="G544:L544" si="41">G523+G528+G533+G538+G543</f>
        <v>45417.79</v>
      </c>
      <c r="H544" s="89">
        <f t="shared" si="41"/>
        <v>195940.61</v>
      </c>
      <c r="I544" s="89">
        <f t="shared" si="41"/>
        <v>4966.09</v>
      </c>
      <c r="J544" s="89">
        <f t="shared" si="41"/>
        <v>3619.8</v>
      </c>
      <c r="K544" s="89">
        <f t="shared" si="41"/>
        <v>996.05</v>
      </c>
      <c r="L544" s="89">
        <f t="shared" si="41"/>
        <v>386074.88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275715.12</v>
      </c>
      <c r="G548" s="87">
        <f>L525</f>
        <v>0</v>
      </c>
      <c r="H548" s="87">
        <f>L530</f>
        <v>109842.26</v>
      </c>
      <c r="I548" s="87">
        <f>L535</f>
        <v>517.5</v>
      </c>
      <c r="J548" s="87">
        <f>L540</f>
        <v>0</v>
      </c>
      <c r="K548" s="87">
        <f>SUM(F548:J548)</f>
        <v>386074.88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275715.12</v>
      </c>
      <c r="G551" s="89">
        <f t="shared" si="42"/>
        <v>0</v>
      </c>
      <c r="H551" s="89">
        <f t="shared" si="42"/>
        <v>109842.26</v>
      </c>
      <c r="I551" s="89">
        <f t="shared" si="42"/>
        <v>517.5</v>
      </c>
      <c r="J551" s="89">
        <f t="shared" si="42"/>
        <v>0</v>
      </c>
      <c r="K551" s="89">
        <f t="shared" si="42"/>
        <v>386074.88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302339.76</v>
      </c>
      <c r="I575" s="87">
        <f t="shared" ref="I575:I586" si="47">SUM(F575:H575)</f>
        <v>302339.76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25997.360000000001</v>
      </c>
      <c r="G579" s="18"/>
      <c r="H579" s="18"/>
      <c r="I579" s="87">
        <f t="shared" si="47"/>
        <v>25997.360000000001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1400</v>
      </c>
      <c r="G581" s="18"/>
      <c r="H581" s="18"/>
      <c r="I581" s="87">
        <f t="shared" si="47"/>
        <v>1400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67104.88</v>
      </c>
      <c r="G582" s="18"/>
      <c r="H582" s="18"/>
      <c r="I582" s="87">
        <f t="shared" si="47"/>
        <v>67104.88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42210.16</v>
      </c>
      <c r="I590" s="18"/>
      <c r="J590" s="18"/>
      <c r="K590" s="104">
        <f t="shared" ref="K590:K596" si="48">SUM(H590:J590)</f>
        <v>42210.16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916.26</v>
      </c>
      <c r="I593" s="18"/>
      <c r="J593" s="18"/>
      <c r="K593" s="104">
        <f t="shared" si="48"/>
        <v>916.26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1503.54</v>
      </c>
      <c r="I594" s="18"/>
      <c r="J594" s="18"/>
      <c r="K594" s="104">
        <f t="shared" si="48"/>
        <v>1503.54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536.58000000000004</v>
      </c>
      <c r="I596" s="18"/>
      <c r="J596" s="18"/>
      <c r="K596" s="104">
        <f t="shared" si="48"/>
        <v>536.58000000000004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45166.540000000008</v>
      </c>
      <c r="I597" s="108">
        <f>SUM(I590:I596)</f>
        <v>0</v>
      </c>
      <c r="J597" s="108">
        <f>SUM(J590:J596)</f>
        <v>0</v>
      </c>
      <c r="K597" s="108">
        <f>SUM(K590:K596)</f>
        <v>45166.540000000008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25495.67+3619.8</f>
        <v>29115.469999999998</v>
      </c>
      <c r="I603" s="18"/>
      <c r="J603" s="18"/>
      <c r="K603" s="104">
        <f>SUM(H603:J603)</f>
        <v>29115.469999999998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29115.469999999998</v>
      </c>
      <c r="I604" s="108">
        <f>SUM(I601:I603)</f>
        <v>0</v>
      </c>
      <c r="J604" s="108">
        <f>SUM(J601:J603)</f>
        <v>0</v>
      </c>
      <c r="K604" s="108">
        <f>SUM(K601:K603)</f>
        <v>29115.469999999998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162597.19999999998</v>
      </c>
      <c r="H616" s="109">
        <f>SUM(F51)</f>
        <v>162597.20000000001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1.8</v>
      </c>
      <c r="H617" s="109">
        <f>SUM(G51)</f>
        <v>1.8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7375.53</v>
      </c>
      <c r="H618" s="109">
        <f>SUM(H51)</f>
        <v>7375.53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42063.23</v>
      </c>
      <c r="H619" s="109">
        <f>SUM(I51)</f>
        <v>42063.23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132704.41999999998</v>
      </c>
      <c r="H620" s="109">
        <f>SUM(J51)</f>
        <v>132704.41999999998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142562.11000000002</v>
      </c>
      <c r="H621" s="109">
        <f>F475</f>
        <v>142562.11000000034</v>
      </c>
      <c r="I621" s="121" t="s">
        <v>101</v>
      </c>
      <c r="J621" s="109">
        <f t="shared" ref="J621:J654" si="50">G621-H621</f>
        <v>-3.2014213502407074E-10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42063.23</v>
      </c>
      <c r="H624" s="109">
        <f>I475</f>
        <v>42063.23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132704.41999999998</v>
      </c>
      <c r="H625" s="109">
        <f>J475</f>
        <v>132704.41999999998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1962560.48</v>
      </c>
      <c r="H626" s="104">
        <f>SUM(F467)</f>
        <v>1962560.48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1381.1899999999998</v>
      </c>
      <c r="H627" s="104">
        <f>SUM(G467)</f>
        <v>1381.19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40173.479999999996</v>
      </c>
      <c r="H628" s="104">
        <f>SUM(H467)</f>
        <v>40173.479999999996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22.33</v>
      </c>
      <c r="H629" s="104">
        <f>SUM(I467)</f>
        <v>22.33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32101.79</v>
      </c>
      <c r="H630" s="104">
        <f>SUM(J467)</f>
        <v>32101.79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1999246.4200000002</v>
      </c>
      <c r="H631" s="104">
        <f>SUM(F471)</f>
        <v>1999246.42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40173.480000000003</v>
      </c>
      <c r="H632" s="104">
        <f>SUM(H471)</f>
        <v>40173.479999999996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841.19</v>
      </c>
      <c r="H633" s="104">
        <f>I368</f>
        <v>841.19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1381.19</v>
      </c>
      <c r="H634" s="104">
        <f>SUM(G471)</f>
        <v>1381.19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32101.79</v>
      </c>
      <c r="H636" s="164">
        <f>SUM(J467)</f>
        <v>32101.79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20478.2</v>
      </c>
      <c r="H637" s="164">
        <f>SUM(J471)</f>
        <v>20478.2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6869.08</v>
      </c>
      <c r="H638" s="104">
        <f>SUM(F460)</f>
        <v>6869.08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125835.34</v>
      </c>
      <c r="H639" s="104">
        <f>SUM(G460)</f>
        <v>125835.34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132704.41999999998</v>
      </c>
      <c r="H641" s="104">
        <f>SUM(I460)</f>
        <v>132704.41999999998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101.79</v>
      </c>
      <c r="H643" s="104">
        <f>H407</f>
        <v>101.78999999999999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32000</v>
      </c>
      <c r="H644" s="104">
        <f>G407</f>
        <v>32000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32101.79</v>
      </c>
      <c r="H645" s="104">
        <f>L407</f>
        <v>32101.79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45166.540000000008</v>
      </c>
      <c r="H646" s="104">
        <f>L207+L225+L243</f>
        <v>45166.54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29115.469999999998</v>
      </c>
      <c r="H647" s="104">
        <f>(J256+J337)-(J254+J335)</f>
        <v>29115.469999999998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45166.54</v>
      </c>
      <c r="H648" s="104">
        <f>H597</f>
        <v>45166.540000000008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300.52999999999997</v>
      </c>
      <c r="H651" s="104">
        <f>K262+K344</f>
        <v>300.52999999999997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32000</v>
      </c>
      <c r="H654" s="104">
        <f>K265+K346</f>
        <v>32000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1567100.8</v>
      </c>
      <c r="G659" s="19">
        <f>(L228+L308+L358)</f>
        <v>0</v>
      </c>
      <c r="H659" s="19">
        <f>(L246+L327+L359)</f>
        <v>302339.76</v>
      </c>
      <c r="I659" s="19">
        <f>SUM(F659:H659)</f>
        <v>1869440.56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1060.56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1060.56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45166.54</v>
      </c>
      <c r="G661" s="19">
        <f>(L225+L305)-(J225+J305)</f>
        <v>0</v>
      </c>
      <c r="H661" s="19">
        <f>(L243+L324)-(J243+J324)</f>
        <v>0</v>
      </c>
      <c r="I661" s="19">
        <f>SUM(F661:H661)</f>
        <v>45166.54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123617.71</v>
      </c>
      <c r="G662" s="200">
        <f>SUM(G574:G586)+SUM(I601:I603)+L611</f>
        <v>0</v>
      </c>
      <c r="H662" s="200">
        <f>SUM(H574:H586)+SUM(J601:J603)+L612</f>
        <v>302339.76</v>
      </c>
      <c r="I662" s="19">
        <f>SUM(F662:H662)</f>
        <v>425957.47000000003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1397255.99</v>
      </c>
      <c r="G663" s="19">
        <f>G659-SUM(G660:G662)</f>
        <v>0</v>
      </c>
      <c r="H663" s="19">
        <f>H659-SUM(H660:H662)</f>
        <v>0</v>
      </c>
      <c r="I663" s="19">
        <f>I659-SUM(I660:I662)</f>
        <v>1397255.99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76.03</v>
      </c>
      <c r="G664" s="249"/>
      <c r="H664" s="249"/>
      <c r="I664" s="19">
        <f>SUM(F664:H664)</f>
        <v>76.03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18377.689999999999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18377.689999999999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18377.689999999999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18377.689999999999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SOUTH HAMPTON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451310.87</v>
      </c>
      <c r="C9" s="230">
        <f>'DOE25'!G196+'DOE25'!G214+'DOE25'!G232+'DOE25'!G275+'DOE25'!G294+'DOE25'!G313</f>
        <v>159819.49000000002</v>
      </c>
    </row>
    <row r="10" spans="1:3" x14ac:dyDescent="0.2">
      <c r="A10" t="s">
        <v>779</v>
      </c>
      <c r="B10" s="241">
        <f>401408.91+3225</f>
        <v>404633.91</v>
      </c>
      <c r="C10" s="241">
        <f>332.39+155514.27</f>
        <v>155846.66</v>
      </c>
    </row>
    <row r="11" spans="1:3" x14ac:dyDescent="0.2">
      <c r="A11" t="s">
        <v>780</v>
      </c>
      <c r="B11" s="241">
        <f>40272.89+1119.31</f>
        <v>41392.199999999997</v>
      </c>
      <c r="C11" s="241">
        <v>3568.55</v>
      </c>
    </row>
    <row r="12" spans="1:3" x14ac:dyDescent="0.2">
      <c r="A12" t="s">
        <v>781</v>
      </c>
      <c r="B12" s="241">
        <v>5284.76</v>
      </c>
      <c r="C12" s="241">
        <v>404.28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451310.87</v>
      </c>
      <c r="C13" s="232">
        <f>SUM(C10:C12)</f>
        <v>159819.49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135134.54</v>
      </c>
      <c r="C18" s="230">
        <f>'DOE25'!G197+'DOE25'!G215+'DOE25'!G233+'DOE25'!G276+'DOE25'!G295+'DOE25'!G314</f>
        <v>45417.79</v>
      </c>
    </row>
    <row r="19" spans="1:3" x14ac:dyDescent="0.2">
      <c r="A19" t="s">
        <v>779</v>
      </c>
      <c r="B19" s="241">
        <v>22323.7</v>
      </c>
      <c r="C19" s="241">
        <f>5372.11</f>
        <v>5372.11</v>
      </c>
    </row>
    <row r="20" spans="1:3" x14ac:dyDescent="0.2">
      <c r="A20" t="s">
        <v>780</v>
      </c>
      <c r="B20" s="241">
        <f>38796.64+1794</f>
        <v>40590.639999999999</v>
      </c>
      <c r="C20" s="241">
        <f>3208.48+211.19</f>
        <v>3419.67</v>
      </c>
    </row>
    <row r="21" spans="1:3" x14ac:dyDescent="0.2">
      <c r="A21" t="s">
        <v>781</v>
      </c>
      <c r="B21" s="241">
        <f>68361.02+3859.18</f>
        <v>72220.2</v>
      </c>
      <c r="C21" s="241">
        <f>35953.35+672.66</f>
        <v>36626.01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135134.53999999998</v>
      </c>
      <c r="C22" s="232">
        <f>SUM(C19:C21)</f>
        <v>45417.79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9433</v>
      </c>
      <c r="C36" s="236">
        <f>'DOE25'!G199+'DOE25'!G217+'DOE25'!G235+'DOE25'!G278+'DOE25'!G297+'DOE25'!G316</f>
        <v>780.11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9433</v>
      </c>
      <c r="C39" s="241">
        <v>780.11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9433</v>
      </c>
      <c r="C40" s="232">
        <f>SUM(C37:C39)</f>
        <v>780.11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SOUTH HAMPTON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1304751.6000000001</v>
      </c>
      <c r="D5" s="20">
        <f>SUM('DOE25'!L196:L199)+SUM('DOE25'!L214:L217)+SUM('DOE25'!L232:L235)-F5-G5</f>
        <v>1303168.28</v>
      </c>
      <c r="E5" s="244"/>
      <c r="F5" s="256">
        <f>SUM('DOE25'!J196:J199)+SUM('DOE25'!J214:J217)+SUM('DOE25'!J232:J235)</f>
        <v>1068.32</v>
      </c>
      <c r="G5" s="53">
        <f>SUM('DOE25'!K196:K199)+SUM('DOE25'!K214:K217)+SUM('DOE25'!K232:K235)</f>
        <v>515</v>
      </c>
      <c r="H5" s="260"/>
    </row>
    <row r="6" spans="1:9" x14ac:dyDescent="0.2">
      <c r="A6" s="32">
        <v>2100</v>
      </c>
      <c r="B6" t="s">
        <v>801</v>
      </c>
      <c r="C6" s="246">
        <f t="shared" si="0"/>
        <v>10755.71</v>
      </c>
      <c r="D6" s="20">
        <f>'DOE25'!L201+'DOE25'!L219+'DOE25'!L237-F6-G6</f>
        <v>10755.71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76499.08</v>
      </c>
      <c r="D7" s="20">
        <f>'DOE25'!L202+'DOE25'!L220+'DOE25'!L238-F7-G7</f>
        <v>58031.72</v>
      </c>
      <c r="E7" s="244"/>
      <c r="F7" s="256">
        <f>'DOE25'!J202+'DOE25'!J220+'DOE25'!J238</f>
        <v>18467.36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25885.170000000009</v>
      </c>
      <c r="D8" s="244"/>
      <c r="E8" s="20">
        <f>'DOE25'!L203+'DOE25'!L221+'DOE25'!L239-F8-G8-D9-D11</f>
        <v>22472.150000000009</v>
      </c>
      <c r="F8" s="256">
        <f>'DOE25'!J203+'DOE25'!J221+'DOE25'!J239</f>
        <v>0</v>
      </c>
      <c r="G8" s="53">
        <f>'DOE25'!K203+'DOE25'!K221+'DOE25'!K239</f>
        <v>3413.02</v>
      </c>
      <c r="H8" s="260"/>
    </row>
    <row r="9" spans="1:9" x14ac:dyDescent="0.2">
      <c r="A9" s="32">
        <v>2310</v>
      </c>
      <c r="B9" t="s">
        <v>818</v>
      </c>
      <c r="C9" s="246">
        <f t="shared" si="0"/>
        <v>23129.42</v>
      </c>
      <c r="D9" s="245">
        <v>23129.42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11509.5</v>
      </c>
      <c r="D10" s="244"/>
      <c r="E10" s="245">
        <v>11509.5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11011.6</v>
      </c>
      <c r="D11" s="245">
        <v>11011.6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209588.49</v>
      </c>
      <c r="D12" s="20">
        <f>'DOE25'!L204+'DOE25'!L222+'DOE25'!L240-F12-G12</f>
        <v>208868.49</v>
      </c>
      <c r="E12" s="244"/>
      <c r="F12" s="256">
        <f>'DOE25'!J204+'DOE25'!J222+'DOE25'!J240</f>
        <v>0</v>
      </c>
      <c r="G12" s="53">
        <f>'DOE25'!K204+'DOE25'!K222+'DOE25'!K240</f>
        <v>720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120898.28000000001</v>
      </c>
      <c r="D14" s="20">
        <f>'DOE25'!L206+'DOE25'!L224+'DOE25'!L242-F14-G14</f>
        <v>114938.29000000001</v>
      </c>
      <c r="E14" s="244"/>
      <c r="F14" s="256">
        <f>'DOE25'!J206+'DOE25'!J224+'DOE25'!J242</f>
        <v>5959.99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45166.54</v>
      </c>
      <c r="D15" s="20">
        <f>'DOE25'!L207+'DOE25'!L225+'DOE25'!L243-F15-G15</f>
        <v>45166.54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200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200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139060</v>
      </c>
      <c r="D25" s="244"/>
      <c r="E25" s="244"/>
      <c r="F25" s="259"/>
      <c r="G25" s="257"/>
      <c r="H25" s="258">
        <f>'DOE25'!L259+'DOE25'!L260+'DOE25'!L340+'DOE25'!L341</f>
        <v>139060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540</v>
      </c>
      <c r="D29" s="20">
        <f>'DOE25'!L357+'DOE25'!L358+'DOE25'!L359-'DOE25'!I366-F29-G29</f>
        <v>540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40173.480000000003</v>
      </c>
      <c r="D31" s="20">
        <f>'DOE25'!L289+'DOE25'!L308+'DOE25'!L327+'DOE25'!L332+'DOE25'!L333+'DOE25'!L334-F31-G31</f>
        <v>36026.74</v>
      </c>
      <c r="E31" s="244"/>
      <c r="F31" s="256">
        <f>'DOE25'!J289+'DOE25'!J308+'DOE25'!J327+'DOE25'!J332+'DOE25'!J333+'DOE25'!J334</f>
        <v>3619.8</v>
      </c>
      <c r="G31" s="53">
        <f>'DOE25'!K289+'DOE25'!K308+'DOE25'!K327+'DOE25'!K332+'DOE25'!K333+'DOE25'!K334</f>
        <v>526.94000000000005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1811636.79</v>
      </c>
      <c r="E33" s="247">
        <f>SUM(E5:E31)</f>
        <v>33981.650000000009</v>
      </c>
      <c r="F33" s="247">
        <f>SUM(F5:F31)</f>
        <v>29115.469999999998</v>
      </c>
      <c r="G33" s="247">
        <f>SUM(G5:G31)</f>
        <v>5374.9600000000009</v>
      </c>
      <c r="H33" s="247">
        <f>SUM(H5:H31)</f>
        <v>139060</v>
      </c>
    </row>
    <row r="35" spans="2:8" ht="12" thickBot="1" x14ac:dyDescent="0.25">
      <c r="B35" s="254" t="s">
        <v>847</v>
      </c>
      <c r="D35" s="255">
        <f>E33</f>
        <v>33981.650000000009</v>
      </c>
      <c r="E35" s="250"/>
    </row>
    <row r="36" spans="2:8" ht="12" thickTop="1" x14ac:dyDescent="0.2">
      <c r="B36" t="s">
        <v>815</v>
      </c>
      <c r="D36" s="20">
        <f>D33</f>
        <v>1811636.79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124989</v>
      </c>
      <c r="D8" s="95">
        <f>'DOE25'!G9</f>
        <v>0</v>
      </c>
      <c r="E8" s="95">
        <f>'DOE25'!H9</f>
        <v>0</v>
      </c>
      <c r="F8" s="95">
        <f>'DOE25'!I9</f>
        <v>22.33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28965.4</v>
      </c>
      <c r="D9" s="95">
        <f>'DOE25'!G10</f>
        <v>0</v>
      </c>
      <c r="E9" s="95">
        <f>'DOE25'!H10</f>
        <v>0</v>
      </c>
      <c r="F9" s="95">
        <f>'DOE25'!I10</f>
        <v>42040.9</v>
      </c>
      <c r="G9" s="95">
        <f>'DOE25'!J10</f>
        <v>132704.41999999998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7377.33</v>
      </c>
      <c r="D11" s="95">
        <f>'DOE25'!G12</f>
        <v>0</v>
      </c>
      <c r="E11" s="95">
        <f>'DOE25'!H12</f>
        <v>7375.53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793.87</v>
      </c>
      <c r="D12" s="95">
        <f>'DOE25'!G13</f>
        <v>1.8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471.6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162597.19999999998</v>
      </c>
      <c r="D18" s="41">
        <f>SUM(D8:D17)</f>
        <v>1.8</v>
      </c>
      <c r="E18" s="41">
        <f>SUM(E8:E17)</f>
        <v>7375.53</v>
      </c>
      <c r="F18" s="41">
        <f>SUM(F8:F17)</f>
        <v>42063.23</v>
      </c>
      <c r="G18" s="41">
        <f>SUM(G8:G17)</f>
        <v>132704.41999999998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1.8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12394.19</v>
      </c>
      <c r="D22" s="95">
        <f>'DOE25'!G23</f>
        <v>0</v>
      </c>
      <c r="E22" s="95">
        <f>'DOE25'!H23</f>
        <v>7375.53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3008.21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1338.41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3294.28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20035.09</v>
      </c>
      <c r="D31" s="41">
        <f>SUM(D21:D30)</f>
        <v>1.8</v>
      </c>
      <c r="E31" s="41">
        <f>SUM(E21:E30)</f>
        <v>7375.53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305.99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569.02</v>
      </c>
      <c r="D46" s="95">
        <f>'DOE25'!G47</f>
        <v>0</v>
      </c>
      <c r="E46" s="95">
        <f>'DOE25'!H47</f>
        <v>0</v>
      </c>
      <c r="F46" s="95">
        <f>'DOE25'!I47</f>
        <v>42063.23</v>
      </c>
      <c r="G46" s="95">
        <f>'DOE25'!J47</f>
        <v>132704.41999999998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116687.1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142562.11000000002</v>
      </c>
      <c r="D49" s="41">
        <f>SUM(D34:D48)</f>
        <v>0</v>
      </c>
      <c r="E49" s="41">
        <f>SUM(E34:E48)</f>
        <v>0</v>
      </c>
      <c r="F49" s="41">
        <f>SUM(F34:F48)</f>
        <v>42063.23</v>
      </c>
      <c r="G49" s="41">
        <f>SUM(G34:G48)</f>
        <v>132704.41999999998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162597.20000000001</v>
      </c>
      <c r="D50" s="41">
        <f>D49+D31</f>
        <v>1.8</v>
      </c>
      <c r="E50" s="41">
        <f>E49+E31</f>
        <v>7375.53</v>
      </c>
      <c r="F50" s="41">
        <f>F49+F31</f>
        <v>42063.23</v>
      </c>
      <c r="G50" s="41">
        <f>G49+G31</f>
        <v>132704.41999999998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1399539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143.11000000000001</v>
      </c>
      <c r="D58" s="95">
        <f>'DOE25'!G95</f>
        <v>0</v>
      </c>
      <c r="E58" s="95">
        <f>'DOE25'!H95</f>
        <v>0</v>
      </c>
      <c r="F58" s="95">
        <f>'DOE25'!I95</f>
        <v>22.33</v>
      </c>
      <c r="G58" s="95">
        <f>'DOE25'!J95</f>
        <v>101.79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1060.56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3348.25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3491.36</v>
      </c>
      <c r="D61" s="130">
        <f>SUM(D56:D60)</f>
        <v>1060.56</v>
      </c>
      <c r="E61" s="130">
        <f>SUM(E56:E60)</f>
        <v>0</v>
      </c>
      <c r="F61" s="130">
        <f>SUM(F56:F60)</f>
        <v>22.33</v>
      </c>
      <c r="G61" s="130">
        <f>SUM(G56:G60)</f>
        <v>101.79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1403030.36</v>
      </c>
      <c r="D62" s="22">
        <f>D55+D61</f>
        <v>1060.56</v>
      </c>
      <c r="E62" s="22">
        <f>E55+E61</f>
        <v>0</v>
      </c>
      <c r="F62" s="22">
        <f>F55+F61</f>
        <v>22.33</v>
      </c>
      <c r="G62" s="22">
        <f>G55+G61</f>
        <v>101.79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113857.35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350721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98.65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464677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40160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12035.38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42657.740000000005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2.0099999999999998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94853.119999999995</v>
      </c>
      <c r="D77" s="130">
        <f>SUM(D71:D76)</f>
        <v>2.0099999999999998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559530.12</v>
      </c>
      <c r="D80" s="130">
        <f>SUM(D78:D79)+D77+D69</f>
        <v>2.0099999999999998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10036.56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18.09</v>
      </c>
      <c r="E87" s="95">
        <f>SUM('DOE25'!H152:H160)</f>
        <v>30136.92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18.09</v>
      </c>
      <c r="E90" s="131">
        <f>SUM(E84:E89)</f>
        <v>40173.479999999996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300.52999999999997</v>
      </c>
      <c r="E95" s="95">
        <f>'DOE25'!H178</f>
        <v>0</v>
      </c>
      <c r="F95" s="95">
        <f>'DOE25'!I178</f>
        <v>0</v>
      </c>
      <c r="G95" s="95">
        <f>'DOE25'!J178</f>
        <v>32000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300.52999999999997</v>
      </c>
      <c r="E102" s="86">
        <f>SUM(E92:E101)</f>
        <v>0</v>
      </c>
      <c r="F102" s="86">
        <f>SUM(F92:F101)</f>
        <v>0</v>
      </c>
      <c r="G102" s="86">
        <f>SUM(G92:G101)</f>
        <v>32000</v>
      </c>
    </row>
    <row r="103" spans="1:7" ht="12.75" thickTop="1" thickBot="1" x14ac:dyDescent="0.25">
      <c r="A103" s="33" t="s">
        <v>765</v>
      </c>
      <c r="C103" s="86">
        <f>C62+C80+C90+C102</f>
        <v>1962560.48</v>
      </c>
      <c r="D103" s="86">
        <f>D62+D80+D90+D102</f>
        <v>1381.1899999999998</v>
      </c>
      <c r="E103" s="86">
        <f>E62+E80+E90+E102</f>
        <v>40173.479999999996</v>
      </c>
      <c r="F103" s="86">
        <f>F62+F80+F90+F102</f>
        <v>22.33</v>
      </c>
      <c r="G103" s="86">
        <f>G62+G80+G102</f>
        <v>32101.79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928330.5</v>
      </c>
      <c r="D108" s="24" t="s">
        <v>289</v>
      </c>
      <c r="E108" s="95">
        <f>('DOE25'!L275)+('DOE25'!L294)+('DOE25'!L313)</f>
        <v>6535.7300000000005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362519.58</v>
      </c>
      <c r="D109" s="24" t="s">
        <v>289</v>
      </c>
      <c r="E109" s="95">
        <f>('DOE25'!L276)+('DOE25'!L295)+('DOE25'!L314)</f>
        <v>23074.25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13901.52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1304751.6000000001</v>
      </c>
      <c r="D114" s="86">
        <f>SUM(D108:D113)</f>
        <v>0</v>
      </c>
      <c r="E114" s="86">
        <f>SUM(E108:E113)</f>
        <v>29609.98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10755.71</v>
      </c>
      <c r="D117" s="24" t="s">
        <v>289</v>
      </c>
      <c r="E117" s="95">
        <f>+('DOE25'!L280)+('DOE25'!L299)+('DOE25'!L318)</f>
        <v>10036.56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76499.08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60026.19</v>
      </c>
      <c r="D119" s="24" t="s">
        <v>289</v>
      </c>
      <c r="E119" s="95">
        <f>+('DOE25'!L282)+('DOE25'!L301)+('DOE25'!L320)</f>
        <v>526.94000000000005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209588.49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120898.28000000001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45166.54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1381.19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523134.29</v>
      </c>
      <c r="D127" s="86">
        <f>SUM(D117:D126)</f>
        <v>1381.19</v>
      </c>
      <c r="E127" s="86">
        <f>SUM(E117:E126)</f>
        <v>10563.5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110000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29060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300.52999999999997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4.32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32097.47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-101.79000000000087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171360.53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1999246.4200000002</v>
      </c>
      <c r="D144" s="86">
        <f>(D114+D127+D143)</f>
        <v>1381.19</v>
      </c>
      <c r="E144" s="86">
        <f>(E114+E127+E143)</f>
        <v>40173.479999999996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August 2000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1430000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610000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610000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139060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139060</v>
      </c>
    </row>
    <row r="158" spans="1:9" x14ac:dyDescent="0.2">
      <c r="A158" s="22" t="s">
        <v>35</v>
      </c>
      <c r="B158" s="137">
        <f>'DOE25'!F497</f>
        <v>500000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500000</v>
      </c>
    </row>
    <row r="159" spans="1:9" x14ac:dyDescent="0.2">
      <c r="A159" s="22" t="s">
        <v>36</v>
      </c>
      <c r="B159" s="137">
        <f>'DOE25'!F498</f>
        <v>54455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54455</v>
      </c>
    </row>
    <row r="160" spans="1:9" x14ac:dyDescent="0.2">
      <c r="A160" s="22" t="s">
        <v>37</v>
      </c>
      <c r="B160" s="137">
        <f>'DOE25'!F499</f>
        <v>554455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554455</v>
      </c>
    </row>
    <row r="161" spans="1:7" x14ac:dyDescent="0.2">
      <c r="A161" s="22" t="s">
        <v>38</v>
      </c>
      <c r="B161" s="137">
        <f>'DOE25'!F500</f>
        <v>115000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115000</v>
      </c>
    </row>
    <row r="162" spans="1:7" x14ac:dyDescent="0.2">
      <c r="A162" s="22" t="s">
        <v>39</v>
      </c>
      <c r="B162" s="137">
        <f>'DOE25'!F501</f>
        <v>23210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23210</v>
      </c>
    </row>
    <row r="163" spans="1:7" x14ac:dyDescent="0.2">
      <c r="A163" s="22" t="s">
        <v>246</v>
      </c>
      <c r="B163" s="137">
        <f>'DOE25'!F502</f>
        <v>138210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138210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SOUTH HAMPTON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18378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18378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934866</v>
      </c>
      <c r="D10" s="182">
        <f>ROUND((C10/$C$28)*100,1)</f>
        <v>49.3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385594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13902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20792</v>
      </c>
      <c r="D15" s="182">
        <f t="shared" ref="D15:D27" si="0">ROUND((C15/$C$28)*100,1)</f>
        <v>1.1000000000000001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76499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60753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209588</v>
      </c>
      <c r="D18" s="182">
        <f t="shared" si="0"/>
        <v>11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120898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45167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29060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320.44000000000005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1897439.44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1897439.44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110000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1399539</v>
      </c>
      <c r="D35" s="182">
        <f t="shared" ref="D35:D40" si="1">ROUND((C35/$C$41)*100,1)</f>
        <v>69.900000000000006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3615.4800000002142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464677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94855</v>
      </c>
      <c r="D38" s="182">
        <f t="shared" si="1"/>
        <v>4.7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40192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2002878.4800000002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SOUTH HAMPTON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 t="s">
        <v>914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2012-08-23T16:50:00Z</cp:lastPrinted>
  <dcterms:created xsi:type="dcterms:W3CDTF">1997-12-04T19:04:30Z</dcterms:created>
  <dcterms:modified xsi:type="dcterms:W3CDTF">2012-11-21T16:01:18Z</dcterms:modified>
</cp:coreProperties>
</file>