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85" i="1" l="1"/>
  <c r="F467" i="1"/>
  <c r="F471" i="1"/>
  <c r="G471" i="1"/>
  <c r="G467" i="1"/>
  <c r="G178" i="1"/>
  <c r="G455" i="1"/>
  <c r="J471" i="1"/>
  <c r="K422" i="1"/>
  <c r="H357" i="1"/>
  <c r="K262" i="1"/>
  <c r="F14" i="1"/>
  <c r="F9" i="1"/>
  <c r="F145" i="1"/>
  <c r="F118" i="1"/>
  <c r="C10" i="12"/>
  <c r="B10" i="12"/>
  <c r="C19" i="12"/>
  <c r="H574" i="1"/>
  <c r="G530" i="1"/>
  <c r="H530" i="1"/>
  <c r="H525" i="1"/>
  <c r="G520" i="1"/>
  <c r="F520" i="1"/>
  <c r="F275" i="1"/>
  <c r="G275" i="1"/>
  <c r="H275" i="1"/>
  <c r="I275" i="1"/>
  <c r="H281" i="1"/>
  <c r="J275" i="1"/>
  <c r="K275" i="1"/>
  <c r="I206" i="1"/>
  <c r="H206" i="1"/>
  <c r="G206" i="1"/>
  <c r="F206" i="1"/>
  <c r="K204" i="1"/>
  <c r="I204" i="1"/>
  <c r="H204" i="1"/>
  <c r="G204" i="1"/>
  <c r="F204" i="1"/>
  <c r="H203" i="1"/>
  <c r="F202" i="1"/>
  <c r="H202" i="1"/>
  <c r="G202" i="1"/>
  <c r="H201" i="1"/>
  <c r="I201" i="1"/>
  <c r="G197" i="1"/>
  <c r="F197" i="1"/>
  <c r="H197" i="1"/>
  <c r="H232" i="1"/>
  <c r="J196" i="1"/>
  <c r="I196" i="1"/>
  <c r="H196" i="1"/>
  <c r="G196" i="1"/>
  <c r="F196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G33" i="13" s="1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A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/>
  <c r="H78" i="1"/>
  <c r="H93" i="1"/>
  <c r="H110" i="1"/>
  <c r="I110" i="1"/>
  <c r="I111" i="1" s="1"/>
  <c r="J110" i="1"/>
  <c r="J111" i="1" s="1"/>
  <c r="F120" i="1"/>
  <c r="F135" i="1"/>
  <c r="F139" i="1"/>
  <c r="G120" i="1"/>
  <c r="G135" i="1"/>
  <c r="G139" i="1" s="1"/>
  <c r="H120" i="1"/>
  <c r="H135" i="1"/>
  <c r="I120" i="1"/>
  <c r="I135" i="1"/>
  <c r="I139" i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/>
  <c r="L521" i="1"/>
  <c r="F549" i="1"/>
  <c r="L522" i="1"/>
  <c r="F550" i="1"/>
  <c r="L525" i="1"/>
  <c r="G548" i="1"/>
  <c r="L526" i="1"/>
  <c r="G549" i="1"/>
  <c r="L527" i="1"/>
  <c r="G550" i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E90" i="2" s="1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D102" i="2" s="1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F143" i="2" s="1"/>
  <c r="F144" i="2" s="1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/>
  <c r="H617" i="1" s="1"/>
  <c r="H50" i="1"/>
  <c r="H51" i="1" s="1"/>
  <c r="H618" i="1" s="1"/>
  <c r="I50" i="1"/>
  <c r="I51" i="1"/>
  <c r="H619" i="1" s="1"/>
  <c r="F176" i="1"/>
  <c r="I176" i="1"/>
  <c r="F182" i="1"/>
  <c r="G182" i="1"/>
  <c r="H182" i="1"/>
  <c r="I182" i="1"/>
  <c r="J182" i="1"/>
  <c r="J191" i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I337" i="1"/>
  <c r="I351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H433" i="1" s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I433" i="1" s="1"/>
  <c r="J432" i="1"/>
  <c r="F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44" i="1" s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G648" i="1"/>
  <c r="I597" i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J641" i="1" s="1"/>
  <c r="G642" i="1"/>
  <c r="H642" i="1"/>
  <c r="G643" i="1"/>
  <c r="H643" i="1"/>
  <c r="G644" i="1"/>
  <c r="H644" i="1"/>
  <c r="H646" i="1"/>
  <c r="G649" i="1"/>
  <c r="H649" i="1"/>
  <c r="J649" i="1" s="1"/>
  <c r="G650" i="1"/>
  <c r="G651" i="1"/>
  <c r="H651" i="1"/>
  <c r="J651" i="1" s="1"/>
  <c r="G652" i="1"/>
  <c r="H652" i="1"/>
  <c r="J652" i="1"/>
  <c r="G653" i="1"/>
  <c r="H653" i="1"/>
  <c r="J653" i="1" s="1"/>
  <c r="H654" i="1"/>
  <c r="F191" i="1"/>
  <c r="L255" i="1"/>
  <c r="L256" i="1"/>
  <c r="L270" i="1" s="1"/>
  <c r="G631" i="1"/>
  <c r="J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/>
  <c r="H663" i="1" s="1"/>
  <c r="H671" i="1" s="1"/>
  <c r="C6" i="10" s="1"/>
  <c r="L350" i="1"/>
  <c r="I661" i="1"/>
  <c r="L289" i="1"/>
  <c r="F659" i="1" s="1"/>
  <c r="F663" i="1" s="1"/>
  <c r="F671" i="1" s="1"/>
  <c r="C4" i="10" s="1"/>
  <c r="A31" i="12"/>
  <c r="C69" i="2"/>
  <c r="A40" i="12"/>
  <c r="D12" i="13"/>
  <c r="C12" i="13"/>
  <c r="G161" i="2"/>
  <c r="D61" i="2"/>
  <c r="D62" i="2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/>
  <c r="G158" i="2"/>
  <c r="C90" i="2"/>
  <c r="G80" i="2"/>
  <c r="F77" i="2"/>
  <c r="F80" i="2" s="1"/>
  <c r="F61" i="2"/>
  <c r="F62" i="2" s="1"/>
  <c r="F103" i="2" s="1"/>
  <c r="D31" i="2"/>
  <c r="C127" i="2"/>
  <c r="C77" i="2"/>
  <c r="D49" i="2"/>
  <c r="D50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C103" i="2" s="1"/>
  <c r="E31" i="2"/>
  <c r="C31" i="2"/>
  <c r="G61" i="2"/>
  <c r="D29" i="13"/>
  <c r="C29" i="13"/>
  <c r="D19" i="13"/>
  <c r="C19" i="13"/>
  <c r="D14" i="13"/>
  <c r="C14" i="13"/>
  <c r="E13" i="13"/>
  <c r="C13" i="13"/>
  <c r="C7" i="13"/>
  <c r="J616" i="1"/>
  <c r="C80" i="2"/>
  <c r="E77" i="2"/>
  <c r="E80" i="2" s="1"/>
  <c r="L426" i="1"/>
  <c r="J256" i="1"/>
  <c r="H111" i="1"/>
  <c r="F111" i="1"/>
  <c r="J640" i="1"/>
  <c r="J638" i="1"/>
  <c r="K604" i="1"/>
  <c r="G647" i="1"/>
  <c r="J570" i="1"/>
  <c r="K570" i="1"/>
  <c r="L432" i="1"/>
  <c r="L418" i="1"/>
  <c r="D80" i="2"/>
  <c r="I660" i="1"/>
  <c r="I168" i="1"/>
  <c r="H168" i="1"/>
  <c r="J270" i="1"/>
  <c r="H647" i="1"/>
  <c r="G551" i="1"/>
  <c r="L433" i="1"/>
  <c r="G637" i="1" s="1"/>
  <c r="J637" i="1" s="1"/>
  <c r="E50" i="2"/>
  <c r="J643" i="1"/>
  <c r="J642" i="1"/>
  <c r="J475" i="1"/>
  <c r="H625" i="1"/>
  <c r="H475" i="1"/>
  <c r="H623" i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/>
  <c r="D144" i="2"/>
  <c r="C23" i="10"/>
  <c r="F168" i="1"/>
  <c r="F192" i="1" s="1"/>
  <c r="G626" i="1" s="1"/>
  <c r="J139" i="1"/>
  <c r="D103" i="2"/>
  <c r="F570" i="1"/>
  <c r="H256" i="1"/>
  <c r="H270" i="1"/>
  <c r="G62" i="2"/>
  <c r="G103" i="2"/>
  <c r="G12" i="2"/>
  <c r="G18" i="2"/>
  <c r="J19" i="1"/>
  <c r="G620" i="1"/>
  <c r="I551" i="1"/>
  <c r="K548" i="1"/>
  <c r="K549" i="1"/>
  <c r="G22" i="2"/>
  <c r="G31" i="2" s="1"/>
  <c r="J32" i="1"/>
  <c r="J647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H139" i="1"/>
  <c r="C38" i="10"/>
  <c r="L400" i="1"/>
  <c r="C138" i="2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/>
  <c r="F337" i="1"/>
  <c r="F351" i="1"/>
  <c r="G191" i="1"/>
  <c r="G192" i="1"/>
  <c r="G627" i="1" s="1"/>
  <c r="J627" i="1" s="1"/>
  <c r="H191" i="1"/>
  <c r="E127" i="2"/>
  <c r="E144" i="2" s="1"/>
  <c r="F551" i="1"/>
  <c r="C35" i="10"/>
  <c r="C36" i="10"/>
  <c r="L308" i="1"/>
  <c r="D5" i="13"/>
  <c r="E16" i="13"/>
  <c r="C49" i="2"/>
  <c r="C50" i="2"/>
  <c r="J654" i="1"/>
  <c r="J644" i="1"/>
  <c r="J192" i="1"/>
  <c r="H666" i="1"/>
  <c r="L569" i="1"/>
  <c r="I570" i="1"/>
  <c r="I544" i="1"/>
  <c r="J635" i="1"/>
  <c r="G36" i="2"/>
  <c r="G49" i="2"/>
  <c r="G50" i="2" s="1"/>
  <c r="J50" i="1"/>
  <c r="C39" i="10"/>
  <c r="H192" i="1"/>
  <c r="G628" i="1" s="1"/>
  <c r="J628" i="1" s="1"/>
  <c r="L564" i="1"/>
  <c r="L570" i="1"/>
  <c r="G544" i="1"/>
  <c r="L544" i="1"/>
  <c r="H544" i="1"/>
  <c r="K550" i="1"/>
  <c r="K551" i="1" s="1"/>
  <c r="C5" i="13"/>
  <c r="C22" i="13"/>
  <c r="F33" i="13"/>
  <c r="C137" i="2"/>
  <c r="C140" i="2"/>
  <c r="C143" i="2" s="1"/>
  <c r="C144" i="2" s="1"/>
  <c r="L407" i="1"/>
  <c r="C16" i="13"/>
  <c r="E33" i="13"/>
  <c r="D35" i="13"/>
  <c r="G659" i="1"/>
  <c r="I659" i="1" s="1"/>
  <c r="D31" i="13"/>
  <c r="C31" i="13" s="1"/>
  <c r="L337" i="1"/>
  <c r="L351" i="1" s="1"/>
  <c r="G632" i="1" s="1"/>
  <c r="J632" i="1" s="1"/>
  <c r="C25" i="13"/>
  <c r="H33" i="13"/>
  <c r="F666" i="1"/>
  <c r="G630" i="1"/>
  <c r="J630" i="1"/>
  <c r="G645" i="1"/>
  <c r="G625" i="1"/>
  <c r="J625" i="1" s="1"/>
  <c r="J51" i="1"/>
  <c r="H620" i="1"/>
  <c r="J620" i="1" s="1"/>
  <c r="C41" i="10"/>
  <c r="D39" i="10" s="1"/>
  <c r="G636" i="1"/>
  <c r="J636" i="1" s="1"/>
  <c r="H645" i="1"/>
  <c r="J645" i="1" s="1"/>
  <c r="D33" i="13"/>
  <c r="D36" i="13" s="1"/>
  <c r="G663" i="1"/>
  <c r="G666" i="1" s="1"/>
  <c r="D35" i="10"/>
  <c r="D38" i="10"/>
  <c r="G671" i="1"/>
  <c r="J626" i="1" l="1"/>
  <c r="E103" i="2"/>
  <c r="I662" i="1"/>
  <c r="I663" i="1" s="1"/>
  <c r="D40" i="10"/>
  <c r="D36" i="10"/>
  <c r="D41" i="10" s="1"/>
  <c r="D37" i="10"/>
  <c r="J648" i="1"/>
  <c r="C27" i="10"/>
  <c r="C28" i="10" s="1"/>
  <c r="G634" i="1"/>
  <c r="J634" i="1" s="1"/>
  <c r="D23" i="10" l="1"/>
  <c r="D24" i="10"/>
  <c r="D22" i="10"/>
  <c r="D15" i="10"/>
  <c r="D19" i="10"/>
  <c r="D16" i="10"/>
  <c r="D12" i="10"/>
  <c r="D21" i="10"/>
  <c r="D25" i="10"/>
  <c r="C30" i="10"/>
  <c r="D17" i="10"/>
  <c r="D11" i="10"/>
  <c r="D26" i="10"/>
  <c r="D18" i="10"/>
  <c r="D13" i="10"/>
  <c r="D20" i="10"/>
  <c r="D10" i="10"/>
  <c r="I671" i="1"/>
  <c r="C7" i="10" s="1"/>
  <c r="I666" i="1"/>
  <c r="H655" i="1"/>
  <c r="D27" i="10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<sst xmlns="http://schemas.openxmlformats.org/spreadsheetml/2006/main" count="3943" uniqueCount="910">
  <si>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</si>
  <si>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</si>
  <si>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</si>
  <si>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</si>
  <si>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</si>
  <si>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</si>
  <si>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</si>
  <si>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</si>
  <si>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</si>
  <si>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</si>
  <si>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</si>
  <si>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</si>
  <si>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</si>
  <si>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</si>
  <si>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</si>
  <si>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</si>
  <si>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</si>
  <si>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</si>
  <si>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</si>
  <si>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</si>
  <si>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</si>
  <si>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</si>
  <si>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</si>
  <si>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</si>
  <si>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</si>
  <si>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</si>
  <si>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</si>
  <si>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</si>
  <si>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</si>
  <si>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</si>
  <si>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</si>
  <si>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</si>
  <si>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</si>
  <si>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</si>
  <si>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</si>
  <si>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</si>
  <si>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</si>
  <si>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</si>
  <si>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</si>
  <si>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</si>
  <si>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</si>
  <si>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</si>
  <si>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</si>
  <si>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</si>
  <si>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</si>
  <si>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</si>
  <si>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</si>
  <si>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</si>
  <si>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</si>
  <si>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</si>
  <si>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</si>
  <si>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</si>
  <si>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</si>
  <si>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</si>
  <si>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</si>
  <si>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</si>
  <si>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</si>
  <si>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</si>
  <si>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</si>
  <si>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</si>
  <si>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</si>
  <si>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</si>
  <si>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</si>
  <si>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</si>
  <si>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</si>
  <si>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</si>
  <si>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</si>
  <si>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</si>
  <si>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</si>
  <si>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</si>
  <si>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</si>
  <si>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</si>
  <si>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</si>
  <si>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</si>
  <si>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</si>
  <si>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</si>
  <si>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</si>
  <si>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</si>
  <si>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</si>
  <si>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</si>
  <si>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</si>
  <si>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</si>
  <si>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</si>
  <si>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</si>
  <si>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</si>
  <si>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</si>
  <si>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</si>
  <si>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</si>
  <si>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</si>
  <si>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</si>
  <si>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</si>
  <si>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</si>
  <si>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</si>
  <si>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</si>
  <si>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</si>
  <si>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</si>
  <si>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</si>
  <si>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</si>
  <si>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</si>
  <si>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</si>
  <si>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</si>
  <si>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</si>
  <si>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</si>
  <si>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</si>
  <si>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</si>
  <si>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</si>
  <si>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</si>
  <si>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</si>
  <si>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</si>
  <si>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</si>
  <si>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</si>
  <si>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</si>
  <si>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</si>
  <si>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</si>
  <si>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</si>
  <si>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</si>
  <si>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</si>
  <si>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</si>
  <si>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</si>
  <si>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</si>
  <si>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</si>
  <si>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</si>
  <si>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</si>
  <si>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</si>
  <si>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</si>
  <si>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</si>
  <si>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</si>
  <si>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</si>
  <si>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</si>
  <si>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</si>
  <si>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</si>
  <si>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</si>
  <si>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</si>
  <si>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</si>
  <si>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</si>
  <si>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</si>
  <si>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</si>
  <si>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</si>
  <si>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</si>
  <si>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</si>
  <si>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</si>
  <si>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</si>
  <si>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</si>
  <si>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</si>
  <si>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</si>
  <si>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</si>
  <si>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</si>
  <si>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</si>
  <si>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</si>
  <si>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</si>
  <si>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</si>
  <si>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</si>
  <si>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</si>
  <si>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</si>
  <si>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</si>
  <si>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</si>
  <si>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</si>
  <si>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</si>
  <si>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</si>
  <si>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</si>
  <si>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</si>
  <si>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</si>
  <si>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</si>
  <si>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</si>
  <si>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</si>
  <si>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</si>
  <si>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</si>
  <si>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</si>
  <si>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</si>
  <si>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</si>
  <si>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</si>
  <si>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</si>
  <si>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</si>
  <si>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</si>
  <si>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</si>
  <si>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</si>
  <si>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</si>
  <si>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</si>
  <si>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</si>
  <si>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</si>
  <si>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</si>
  <si>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</si>
  <si>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</si>
  <si>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</si>
  <si>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</si>
  <si>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</si>
  <si>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</si>
  <si>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</si>
  <si>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</si>
  <si>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</si>
  <si>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</si>
  <si>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</si>
  <si>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</si>
  <si>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</si>
  <si>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</si>
  <si>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</si>
  <si>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</si>
  <si>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</si>
  <si>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</si>
  <si>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</si>
  <si>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</si>
  <si>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</si>
  <si>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</si>
  <si>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</si>
  <si>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</si>
  <si>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</si>
  <si>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</si>
  <si>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</si>
  <si>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</si>
  <si>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</si>
  <si>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</si>
  <si>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</si>
  <si>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</si>
  <si>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</si>
  <si>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</si>
  <si>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</si>
  <si>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</si>
  <si>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</si>
  <si>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</si>
  <si>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</si>
  <si>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</si>
  <si>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</si>
  <si>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</si>
  <si>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</si>
  <si>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</si>
  <si>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</si>
  <si>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</si>
  <si>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</si>
  <si>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</si>
  <si>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</si>
  <si>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</si>
  <si>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</si>
  <si>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</si>
  <si>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</si>
  <si>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</si>
  <si>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</si>
  <si>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</si>
  <si>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</si>
  <si>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</si>
  <si>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</si>
  <si>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</si>
  <si>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</si>
  <si>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</si>
  <si>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</si>
  <si>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</si>
  <si>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</si>
  <si>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</si>
  <si>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</si>
  <si>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</si>
  <si>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</si>
  <si>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</si>
  <si>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</si>
  <si>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</si>
  <si>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</si>
  <si>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</si>
  <si>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</si>
  <si>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</si>
  <si>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</si>
  <si>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</si>
  <si>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</si>
  <si>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</si>
  <si>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</si>
  <si>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</si>
  <si>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</si>
  <si>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</si>
  <si>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</si>
  <si>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</si>
  <si>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</si>
  <si>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</si>
  <si>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</si>
  <si>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</si>
  <si>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</si>
  <si>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</si>
  <si>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</si>
  <si>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</si>
  <si>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</si>
  <si>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</si>
  <si>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</si>
  <si>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</si>
  <si>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</si>
  <si>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</si>
  <si>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</si>
  <si>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</si>
  <si>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</si>
  <si>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</si>
  <si>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</si>
  <si>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</si>
  <si>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</si>
  <si>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</si>
  <si>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</si>
  <si>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</si>
  <si>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</si>
  <si>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</si>
  <si>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</si>
  <si>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</si>
  <si>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</si>
  <si>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</si>
  <si>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</si>
  <si>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</si>
  <si>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</si>
  <si>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</si>
  <si>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</si>
  <si>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</si>
  <si>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</si>
  <si>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</si>
  <si>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</si>
  <si>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</si>
  <si>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</si>
  <si>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</si>
  <si>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</si>
  <si>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</si>
  <si>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</si>
  <si>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</si>
  <si>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</si>
  <si>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</si>
  <si>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</si>
  <si>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</si>
  <si>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</si>
  <si>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</si>
  <si>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</si>
  <si>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</si>
  <si>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</si>
  <si>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</si>
  <si>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</si>
  <si>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</si>
  <si>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</si>
  <si>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</si>
  <si>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</si>
  <si>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</si>
  <si>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</si>
  <si>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</si>
  <si>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</si>
  <si>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</si>
  <si>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</si>
  <si>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</si>
  <si>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</si>
  <si>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</si>
  <si>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</si>
  <si>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</si>
  <si>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</si>
  <si>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</si>
  <si>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</si>
  <si>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</si>
  <si>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</si>
  <si>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</si>
  <si>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</si>
  <si>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</si>
  <si>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</si>
  <si>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</si>
  <si>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</si>
  <si>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</si>
  <si>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</si>
  <si>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</si>
  <si>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</si>
  <si>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</si>
  <si>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</si>
  <si>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</si>
  <si>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</si>
  <si>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</si>
  <si>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</si>
  <si>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</si>
  <si>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</si>
  <si>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</si>
  <si>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</si>
  <si>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</si>
  <si>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</si>
  <si>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</si>
  <si>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</si>
  <si>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</si>
  <si>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</si>
  <si>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</si>
  <si>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</si>
  <si>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</si>
  <si>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</si>
  <si>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</si>
  <si>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</si>
  <si>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</si>
  <si>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</si>
  <si>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</si>
  <si>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</si>
  <si>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</si>
  <si>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</si>
  <si>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</si>
  <si>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</si>
  <si>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</si>
  <si>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</si>
  <si>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</si>
  <si>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</si>
  <si>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</si>
  <si>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</si>
  <si>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</si>
  <si>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</si>
  <si>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</si>
  <si>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</si>
  <si>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</si>
  <si>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</si>
  <si>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</si>
  <si>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</si>
  <si>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</si>
  <si>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</si>
  <si>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</si>
  <si>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</si>
  <si>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</si>
  <si>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</si>
  <si>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</si>
  <si>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</si>
  <si>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</si>
  <si>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</si>
  <si>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</si>
  <si>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</si>
  <si>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</si>
  <si>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</si>
  <si>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</si>
  <si>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</si>
  <si>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</si>
  <si>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</si>
  <si>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</si>
  <si>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</si>
  <si>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</si>
  <si>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</si>
  <si>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</si>
  <si>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</si>
  <si>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</si>
  <si>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</si>
  <si>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</si>
  <si>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</si>
  <si>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</si>
  <si>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</si>
  <si>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</si>
  <si>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</si>
  <si>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</si>
  <si>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</si>
  <si>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</si>
  <si>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</si>
  <si>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</si>
  <si>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</si>
  <si>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</si>
  <si>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</si>
  <si>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</si>
  <si>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</si>
  <si>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</si>
  <si>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</si>
  <si>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</si>
  <si>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</si>
  <si>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</si>
  <si>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</si>
  <si>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</si>
  <si>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</si>
  <si>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</si>
  <si>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</si>
  <si>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</si>
  <si>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</si>
  <si>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</si>
  <si>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</si>
  <si>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</si>
  <si>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</si>
  <si>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</si>
  <si>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</si>
  <si>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</si>
  <si>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</si>
  <si>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</si>
  <si>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</si>
  <si>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</si>
  <si>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</si>
  <si>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</si>
  <si>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</si>
  <si>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</si>
  <si>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</si>
  <si>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</si>
  <si>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</si>
  <si>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</si>
  <si>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</si>
  <si>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</si>
  <si>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</si>
  <si>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</si>
  <si>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</si>
  <si>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</si>
  <si>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</si>
  <si>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</si>
  <si>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</si>
  <si>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</si>
  <si>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</si>
  <si>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</si>
  <si>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</si>
  <si>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</si>
  <si>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</si>
  <si>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</si>
  <si>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</si>
  <si>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</si>
  <si>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</si>
  <si>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</si>
  <si>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</si>
  <si>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</si>
  <si>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</si>
  <si>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</si>
  <si>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</si>
  <si>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</si>
  <si>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</si>
  <si>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</si>
  <si>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</si>
  <si>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</si>
  <si>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</si>
  <si>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</si>
  <si>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</si>
  <si>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</si>
  <si>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</si>
  <si>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</si>
  <si>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</si>
  <si>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</si>
  <si>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</si>
  <si>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</si>
  <si>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</si>
  <si>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</si>
  <si>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</si>
  <si>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</si>
  <si>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</si>
  <si>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</si>
  <si>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</si>
  <si>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</si>
  <si>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</si>
  <si>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</si>
  <si>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</si>
  <si>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</si>
  <si>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</si>
  <si>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</si>
  <si>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</si>
  <si>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</si>
  <si>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</si>
  <si>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</si>
  <si>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</si>
  <si>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</si>
  <si>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</si>
  <si>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</si>
  <si>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</si>
  <si>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</si>
  <si>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</si>
  <si>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</si>
  <si>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</si>
  <si>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</si>
  <si>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</si>
  <si>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</si>
  <si>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</si>
  <si>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</si>
  <si>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</si>
  <si>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</si>
  <si>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</si>
  <si>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</si>
  <si>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</si>
  <si>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</si>
  <si>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</si>
  <si>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</si>
  <si>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</si>
  <si>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</si>
  <si>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</si>
  <si>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</si>
  <si>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</si>
  <si>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</si>
  <si>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</si>
  <si>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</si>
  <si>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</si>
  <si>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</si>
  <si>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</si>
  <si>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</si>
  <si>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</si>
  <si>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</si>
  <si>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</si>
  <si>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</si>
  <si>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</si>
  <si>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</si>
  <si>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</si>
  <si>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</si>
  <si>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</si>
  <si>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</si>
  <si>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</si>
  <si>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</si>
  <si>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</si>
  <si>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</si>
  <si>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</si>
  <si>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</si>
  <si>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</si>
  <si>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</si>
  <si>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</si>
  <si>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</si>
  <si>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</si>
  <si>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</si>
  <si>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</si>
  <si>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</si>
  <si>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</si>
  <si>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</si>
  <si>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</si>
  <si>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</si>
  <si>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</si>
  <si>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</si>
  <si>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</si>
  <si>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</si>
  <si>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</si>
  <si>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</si>
  <si>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</si>
  <si>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</si>
  <si>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</si>
  <si>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</si>
  <si>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</si>
  <si>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</si>
  <si>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</si>
  <si>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</si>
  <si>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</si>
  <si>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</si>
  <si>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</si>
  <si>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</si>
  <si>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</si>
  <si>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</si>
  <si>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</si>
  <si>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</si>
  <si>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</si>
  <si>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</si>
  <si>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</si>
  <si>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</si>
  <si>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</si>
  <si>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</si>
  <si>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</si>
  <si>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</si>
  <si>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</si>
  <si>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</si>
  <si>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</si>
  <si>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</si>
  <si>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</si>
  <si>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</si>
  <si>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</si>
  <si>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</si>
  <si>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</si>
  <si>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</si>
  <si>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</si>
  <si>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</si>
  <si>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</si>
  <si>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</si>
  <si>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</si>
  <si>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</si>
  <si>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</si>
  <si>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</si>
  <si>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</si>
  <si>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</si>
  <si>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</si>
  <si>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</si>
  <si>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</si>
  <si>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</si>
  <si>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</si>
  <si>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</si>
  <si>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</si>
  <si>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</si>
  <si>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</si>
  <si>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</si>
  <si>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</si>
  <si>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</si>
  <si>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</si>
  <si>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</si>
  <si>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</si>
  <si>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</si>
  <si>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</si>
  <si>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</si>
  <si>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</si>
  <si>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</si>
  <si>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</si>
  <si>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</si>
  <si>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</si>
  <si>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</si>
  <si>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</si>
  <si>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</si>
  <si>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</si>
  <si>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</si>
  <si>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</si>
  <si>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</si>
  <si>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</si>
  <si>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</si>
  <si>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</si>
  <si>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</si>
  <si>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</si>
  <si>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</si>
  <si>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</si>
  <si>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</si>
  <si>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</si>
  <si>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</si>
  <si>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</si>
  <si>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</si>
  <si>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</si>
  <si>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</si>
  <si>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</si>
  <si>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</si>
  <si>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</si>
  <si>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</si>
  <si>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</si>
  <si>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</si>
  <si>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</si>
  <si>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</si>
  <si>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</si>
  <si>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</si>
  <si>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</si>
  <si>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</si>
  <si>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</si>
  <si>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</si>
  <si>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</si>
  <si>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</si>
  <si>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</si>
  <si>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</si>
  <si>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</si>
  <si>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</si>
  <si>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</si>
  <si>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</si>
  <si>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</si>
  <si>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</si>
  <si>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</si>
  <si>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</si>
  <si>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</si>
  <si>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</si>
  <si>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</si>
  <si>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</si>
  <si>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</si>
  <si>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</si>
  <si>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</si>
  <si>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</si>
  <si>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</si>
  <si>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</si>
  <si>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</si>
  <si>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</si>
  <si>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</si>
  <si>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</si>
  <si>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</si>
  <si>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</si>
  <si>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</si>
  <si>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</si>
  <si>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</si>
  <si>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</si>
  <si>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</si>
  <si>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</si>
  <si>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</si>
  <si>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</si>
  <si>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</si>
  <si>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</si>
  <si>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</si>
  <si>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</si>
  <si>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</si>
  <si>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</si>
  <si>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</si>
  <si>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</si>
  <si>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</si>
  <si>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</si>
  <si>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</si>
  <si>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</si>
  <si>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</si>
  <si>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</si>
  <si>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</si>
  <si>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</si>
  <si>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</si>
  <si>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</si>
  <si>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</si>
  <si>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</si>
  <si>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</si>
  <si>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</si>
  <si>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</si>
  <si>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</si>
  <si>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</si>
  <si>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</si>
  <si>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</si>
  <si>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</si>
  <si>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</si>
  <si>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</si>
  <si>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</si>
  <si>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</si>
  <si>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</si>
  <si>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</si>
  <si>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</si>
  <si>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</si>
  <si>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</si>
  <si>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</si>
  <si>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</si>
  <si>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</si>
  <si>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</si>
  <si>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</si>
  <si>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</si>
  <si>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</si>
  <si>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</si>
  <si>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</si>
  <si>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</si>
  <si>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</si>
  <si>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</si>
  <si>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</si>
  <si>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</si>
  <si>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</si>
  <si>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</si>
  <si>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</si>
  <si>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</si>
  <si>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</si>
  <si>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</si>
  <si>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</si>
  <si>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</si>
  <si>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</si>
  <si>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</si>
  <si>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</si>
  <si>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</si>
  <si>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</si>
  <si>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</si>
  <si>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</si>
  <si>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</si>
  <si>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</si>
  <si>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</si>
  <si>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</si>
  <si>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</si>
  <si>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</si>
  <si>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</si>
  <si>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</si>
  <si>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</si>
  <si>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</si>
  <si>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</si>
  <si>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</si>
  <si>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</si>
  <si>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</si>
  <si>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</si>
  <si>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</si>
  <si>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</si>
  <si>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</si>
  <si>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</si>
  <si>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</si>
  <si>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</si>
  <si>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</si>
  <si>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</si>
  <si>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</si>
  <si>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</si>
  <si>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</si>
  <si>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</si>
  <si>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</si>
  <si>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</si>
  <si>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</si>
  <si>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</si>
  <si>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</si>
  <si>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</si>
  <si>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</si>
  <si>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</si>
  <si>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</si>
  <si>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</si>
  <si>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</si>
  <si>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</si>
  <si>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</si>
  <si>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</si>
  <si>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</si>
  <si>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</si>
  <si>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</si>
  <si>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</si>
  <si>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</si>
  <si>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</si>
  <si>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</si>
  <si>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</si>
  <si>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</si>
  <si>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</si>
  <si>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</si>
  <si>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</si>
  <si>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</si>
  <si>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</si>
  <si>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</si>
  <si>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</si>
  <si>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</si>
  <si>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</si>
  <si>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</si>
  <si>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</si>
  <si>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</si>
  <si>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</si>
  <si>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</si>
  <si>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</si>
  <si>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</si>
  <si>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</si>
  <si>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</si>
  <si>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</si>
  <si>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</si>
  <si>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</si>
  <si>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</si>
  <si>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</si>
  <si>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</si>
  <si>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</si>
  <si>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</si>
  <si>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</si>
  <si>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</si>
  <si>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</si>
  <si>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</si>
  <si>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</si>
  <si>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</si>
  <si>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</si>
  <si>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</si>
  <si>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</si>
  <si>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</si>
  <si>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</si>
  <si>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</si>
  <si>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</si>
  <si>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</si>
  <si>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</si>
  <si>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</si>
  <si>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</si>
  <si>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</si>
  <si>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</si>
  <si>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</si>
  <si>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</si>
  <si>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</si>
  <si>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</si>
  <si>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</si>
  <si>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</si>
  <si>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</si>
  <si>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</si>
  <si>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</si>
  <si>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</si>
  <si>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</si>
  <si>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</si>
  <si>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</si>
  <si>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STARK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</si>
</sst>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38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499</v>
      </c>
      <c r="C2" s="21">
        <v>499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-41895.26+1005.2-4707.39</f>
        <v>-45597.450000000004</v>
      </c>
      <c r="G9" s="18"/>
      <c r="H9" s="18"/>
      <c r="I9" s="18"/>
      <c r="J9" s="67">
        <f>SUM(I438)</f>
        <v>158261.60999999999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14112.44</v>
      </c>
      <c r="G12" s="18">
        <v>0</v>
      </c>
      <c r="H12" s="18">
        <v>0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24769.32+2008.3+4707.39</f>
        <v>31485.01</v>
      </c>
      <c r="G14" s="18">
        <v>2008.3</v>
      </c>
      <c r="H14" s="18">
        <v>14112.44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0</v>
      </c>
      <c r="G19" s="41">
        <f>SUM(G9:G18)</f>
        <v>2008.3</v>
      </c>
      <c r="H19" s="41">
        <f>SUM(H9:H18)</f>
        <v>14112.44</v>
      </c>
      <c r="I19" s="41">
        <f>SUM(I9:I18)</f>
        <v>0</v>
      </c>
      <c r="J19" s="41">
        <f>SUM(J9:J18)</f>
        <v>158261.60999999999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2008.3</v>
      </c>
      <c r="H22" s="18">
        <v>14112.44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2008.3</v>
      </c>
      <c r="H32" s="41">
        <f>SUM(H22:H31)</f>
        <v>14112.44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158261.60999999999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/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0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158261.60999999999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0</v>
      </c>
      <c r="G51" s="41">
        <f>G50+G32</f>
        <v>2008.3</v>
      </c>
      <c r="H51" s="41">
        <f>H50+H32</f>
        <v>14112.44</v>
      </c>
      <c r="I51" s="41">
        <f>I50+I32</f>
        <v>0</v>
      </c>
      <c r="J51" s="41">
        <f>J50+J32</f>
        <v>158261.60999999999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162842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250.03</v>
      </c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163092.03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192.66</v>
      </c>
      <c r="G95" s="18"/>
      <c r="H95" s="18"/>
      <c r="I95" s="18"/>
      <c r="J95" s="18">
        <v>5985.91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4965.6499999999996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192.66</v>
      </c>
      <c r="G110" s="41">
        <f>SUM(G95:G109)</f>
        <v>4965.6499999999996</v>
      </c>
      <c r="H110" s="41">
        <f>SUM(H95:H109)</f>
        <v>0</v>
      </c>
      <c r="I110" s="41">
        <f>SUM(I95:I109)</f>
        <v>0</v>
      </c>
      <c r="J110" s="41">
        <f>SUM(J95:J109)</f>
        <v>5985.91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163284.69</v>
      </c>
      <c r="G111" s="41">
        <f>G59+G110</f>
        <v>4965.6499999999996</v>
      </c>
      <c r="H111" s="41">
        <f>H59+H78+H93+H110</f>
        <v>0</v>
      </c>
      <c r="I111" s="41">
        <f>I59+I110</f>
        <v>0</v>
      </c>
      <c r="J111" s="41">
        <f>J59+J110</f>
        <v>5985.91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347649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130334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f>9974.07-9673.12</f>
        <v>300.94999999999891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282.06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478566.01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152.76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152.76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478566.01</v>
      </c>
      <c r="G139" s="41">
        <f>G120+SUM(G135:G136)</f>
        <v>152.76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f>9673.12</f>
        <v>9673.1200000000008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9673.1200000000008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23250.33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14551.64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10268.91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15998.44</v>
      </c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1058.6099999999999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17057.05</v>
      </c>
      <c r="G161" s="41">
        <f>SUM(G149:G160)</f>
        <v>10268.91</v>
      </c>
      <c r="H161" s="41">
        <f>SUM(H149:H160)</f>
        <v>37801.97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16961.2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43691.369999999995</v>
      </c>
      <c r="G168" s="41">
        <f>G146+G161+SUM(G162:G167)</f>
        <v>10268.91</v>
      </c>
      <c r="H168" s="41">
        <f>H146+H161+SUM(H162:H167)</f>
        <v>37801.97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f>6020.25+4707.39</f>
        <v>10727.64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10727.64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f>24769.32+4707.39</f>
        <v>29476.71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29476.71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29476.71</v>
      </c>
      <c r="G191" s="41">
        <f>G182+SUM(G187:G190)</f>
        <v>10727.64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715018.77999999991</v>
      </c>
      <c r="G192" s="47">
        <f>G111+G139+G168+G191</f>
        <v>26114.959999999999</v>
      </c>
      <c r="H192" s="47">
        <f>H111+H139+H168+H191</f>
        <v>37801.97</v>
      </c>
      <c r="I192" s="47">
        <f>I111+I139+I168+I191</f>
        <v>0</v>
      </c>
      <c r="J192" s="47">
        <f>J111+J139+J191</f>
        <v>5985.91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76140.21+2738.19</f>
        <v>78878.400000000009</v>
      </c>
      <c r="G196" s="18">
        <f>25843.53+313.5+5695.68+7441.67+2800+735.4+537.75</f>
        <v>43367.53</v>
      </c>
      <c r="H196" s="18">
        <f>2586.93+402.2+1256.62</f>
        <v>4245.75</v>
      </c>
      <c r="I196" s="18">
        <f>1+21.18</f>
        <v>22.18</v>
      </c>
      <c r="J196" s="18">
        <f>746.22+1</f>
        <v>747.22</v>
      </c>
      <c r="K196" s="18"/>
      <c r="L196" s="19">
        <f>SUM(F196:K196)</f>
        <v>127261.08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39650.02+60</f>
        <v>39710.019999999997</v>
      </c>
      <c r="G197" s="18">
        <f>12013.62+248.34+2874.17+4481.73</f>
        <v>19617.86</v>
      </c>
      <c r="H197" s="18">
        <f>18033+763.36+300</f>
        <v>19096.36</v>
      </c>
      <c r="I197" s="18"/>
      <c r="J197" s="18"/>
      <c r="K197" s="18"/>
      <c r="L197" s="19">
        <f>SUM(F197:K197)</f>
        <v>78424.239999999991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>
        <v>1</v>
      </c>
      <c r="J199" s="18"/>
      <c r="K199" s="18"/>
      <c r="L199" s="19">
        <f>SUM(F199:K199)</f>
        <v>1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>
        <f>5926.81+1677.31+54.39+8137.35</f>
        <v>15795.86</v>
      </c>
      <c r="I201" s="18">
        <f>12.57</f>
        <v>12.57</v>
      </c>
      <c r="J201" s="18"/>
      <c r="K201" s="18"/>
      <c r="L201" s="19">
        <f t="shared" ref="L201:L207" si="0">SUM(F201:K201)</f>
        <v>15808.43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1625+952.5</f>
        <v>2577.5</v>
      </c>
      <c r="G202" s="18">
        <f>124.3+72.87+285.4+5.9</f>
        <v>488.46999999999997</v>
      </c>
      <c r="H202" s="18">
        <f>3624.6+991+6947.73+1</f>
        <v>11564.33</v>
      </c>
      <c r="I202" s="18">
        <v>1</v>
      </c>
      <c r="J202" s="18"/>
      <c r="K202" s="18"/>
      <c r="L202" s="19">
        <f t="shared" si="0"/>
        <v>14631.3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4140</v>
      </c>
      <c r="G203" s="18">
        <v>316.77</v>
      </c>
      <c r="H203" s="18">
        <f>585.4+11260.5+3621.96+65736.96</f>
        <v>81204.820000000007</v>
      </c>
      <c r="I203" s="18"/>
      <c r="J203" s="18"/>
      <c r="K203" s="18">
        <v>2156.41</v>
      </c>
      <c r="L203" s="19">
        <f t="shared" si="0"/>
        <v>87818.000000000015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19141.28+10222+0</f>
        <v>29363.279999999999</v>
      </c>
      <c r="G204" s="18">
        <f>5752.59+108.9+2166.48+2162.07+485.4+100.74+285.4+17.93</f>
        <v>11079.509999999998</v>
      </c>
      <c r="H204" s="18">
        <f>69.82+3649.94+200</f>
        <v>3919.76</v>
      </c>
      <c r="I204" s="18">
        <f>-1.4+1846.01</f>
        <v>1844.61</v>
      </c>
      <c r="J204" s="18"/>
      <c r="K204" s="18">
        <f>790+171.48+16.67</f>
        <v>978.15</v>
      </c>
      <c r="L204" s="19">
        <f t="shared" si="0"/>
        <v>47185.31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10123.96+3983.67</f>
        <v>14107.63</v>
      </c>
      <c r="G206" s="18">
        <f>1079.29+485.4+532.68</f>
        <v>2097.37</v>
      </c>
      <c r="H206" s="18">
        <f>2458+730.15+770+3036.25+3000+1771.04</f>
        <v>11765.439999999999</v>
      </c>
      <c r="I206" s="18">
        <f>23.76+4878.96+506.86+12616.43</f>
        <v>18026.010000000002</v>
      </c>
      <c r="J206" s="18">
        <v>839.52</v>
      </c>
      <c r="K206" s="18"/>
      <c r="L206" s="19">
        <f t="shared" si="0"/>
        <v>46835.969999999994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18803.59</v>
      </c>
      <c r="I207" s="18"/>
      <c r="J207" s="18"/>
      <c r="K207" s="18"/>
      <c r="L207" s="19">
        <f t="shared" si="0"/>
        <v>18803.59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168776.83000000002</v>
      </c>
      <c r="G210" s="41">
        <f t="shared" si="1"/>
        <v>76967.509999999995</v>
      </c>
      <c r="H210" s="41">
        <f t="shared" si="1"/>
        <v>166395.91</v>
      </c>
      <c r="I210" s="41">
        <f t="shared" si="1"/>
        <v>19907.370000000003</v>
      </c>
      <c r="J210" s="41">
        <f t="shared" si="1"/>
        <v>1586.74</v>
      </c>
      <c r="K210" s="41">
        <f t="shared" si="1"/>
        <v>3134.56</v>
      </c>
      <c r="L210" s="41">
        <f t="shared" si="1"/>
        <v>436768.92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114171.19+234593.45</f>
        <v>348764.64</v>
      </c>
      <c r="I232" s="18"/>
      <c r="J232" s="18"/>
      <c r="K232" s="18"/>
      <c r="L232" s="19">
        <f>SUM(F232:K232)</f>
        <v>348764.64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24925.71</v>
      </c>
      <c r="I243" s="18"/>
      <c r="J243" s="18"/>
      <c r="K243" s="18"/>
      <c r="L243" s="19">
        <f t="shared" si="4"/>
        <v>24925.71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373690.35000000003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373690.35000000003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-220.68</v>
      </c>
      <c r="I254" s="18"/>
      <c r="J254" s="18"/>
      <c r="K254" s="18"/>
      <c r="L254" s="19">
        <f t="shared" si="6"/>
        <v>-220.68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-220.68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-220.68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168776.83000000002</v>
      </c>
      <c r="G256" s="41">
        <f t="shared" si="8"/>
        <v>76967.509999999995</v>
      </c>
      <c r="H256" s="41">
        <f t="shared" si="8"/>
        <v>539865.57999999996</v>
      </c>
      <c r="I256" s="41">
        <f t="shared" si="8"/>
        <v>19907.370000000003</v>
      </c>
      <c r="J256" s="41">
        <f t="shared" si="8"/>
        <v>1586.74</v>
      </c>
      <c r="K256" s="41">
        <f t="shared" si="8"/>
        <v>3134.56</v>
      </c>
      <c r="L256" s="41">
        <f t="shared" si="8"/>
        <v>810238.59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f>6020.25+4707.39</f>
        <v>10727.64</v>
      </c>
      <c r="L262" s="19">
        <f>SUM(F262:K262)</f>
        <v>10727.64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10727.64</v>
      </c>
      <c r="L269" s="41">
        <f t="shared" si="9"/>
        <v>10727.64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168776.83000000002</v>
      </c>
      <c r="G270" s="42">
        <f t="shared" si="11"/>
        <v>76967.509999999995</v>
      </c>
      <c r="H270" s="42">
        <f t="shared" si="11"/>
        <v>539865.57999999996</v>
      </c>
      <c r="I270" s="42">
        <f t="shared" si="11"/>
        <v>19907.370000000003</v>
      </c>
      <c r="J270" s="42">
        <f t="shared" si="11"/>
        <v>1586.74</v>
      </c>
      <c r="K270" s="42">
        <f t="shared" si="11"/>
        <v>13862.199999999999</v>
      </c>
      <c r="L270" s="42">
        <f t="shared" si="11"/>
        <v>820966.23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3525+1900+16995.45+711.75+538.25+1025</f>
        <v>24695.45</v>
      </c>
      <c r="G275" s="18">
        <f>78.41+67.8+95.63+1307.02+249.18+484.2+269.67+417.01</f>
        <v>2968.92</v>
      </c>
      <c r="H275" s="18">
        <f>1278.56+54+350.3</f>
        <v>1682.86</v>
      </c>
      <c r="I275" s="18">
        <f>2413.07+1169.39+100+1822.5</f>
        <v>5504.96</v>
      </c>
      <c r="J275" s="18">
        <f>2207.53+140</f>
        <v>2347.5300000000002</v>
      </c>
      <c r="K275" s="18">
        <f>355.25</f>
        <v>355.25</v>
      </c>
      <c r="L275" s="19">
        <f>SUM(F275:K275)</f>
        <v>37554.97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f>247</f>
        <v>247</v>
      </c>
      <c r="I281" s="18"/>
      <c r="J281" s="18"/>
      <c r="K281" s="18"/>
      <c r="L281" s="19">
        <f t="shared" si="12"/>
        <v>247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24695.45</v>
      </c>
      <c r="G289" s="42">
        <f t="shared" si="13"/>
        <v>2968.92</v>
      </c>
      <c r="H289" s="42">
        <f t="shared" si="13"/>
        <v>1929.86</v>
      </c>
      <c r="I289" s="42">
        <f t="shared" si="13"/>
        <v>5504.96</v>
      </c>
      <c r="J289" s="42">
        <f t="shared" si="13"/>
        <v>2347.5300000000002</v>
      </c>
      <c r="K289" s="42">
        <f t="shared" si="13"/>
        <v>355.25</v>
      </c>
      <c r="L289" s="41">
        <f t="shared" si="13"/>
        <v>37801.97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24695.45</v>
      </c>
      <c r="G337" s="41">
        <f t="shared" si="20"/>
        <v>2968.92</v>
      </c>
      <c r="H337" s="41">
        <f t="shared" si="20"/>
        <v>1929.86</v>
      </c>
      <c r="I337" s="41">
        <f t="shared" si="20"/>
        <v>5504.96</v>
      </c>
      <c r="J337" s="41">
        <f t="shared" si="20"/>
        <v>2347.5300000000002</v>
      </c>
      <c r="K337" s="41">
        <f t="shared" si="20"/>
        <v>355.25</v>
      </c>
      <c r="L337" s="41">
        <f t="shared" si="20"/>
        <v>37801.97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24695.45</v>
      </c>
      <c r="G351" s="41">
        <f>G337</f>
        <v>2968.92</v>
      </c>
      <c r="H351" s="41">
        <f>H337</f>
        <v>1929.86</v>
      </c>
      <c r="I351" s="41">
        <f>I337</f>
        <v>5504.96</v>
      </c>
      <c r="J351" s="41">
        <f>J337</f>
        <v>2347.5300000000002</v>
      </c>
      <c r="K351" s="47">
        <f>K337+K350</f>
        <v>355.25</v>
      </c>
      <c r="L351" s="41">
        <f>L337+L350</f>
        <v>37801.97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f>21716.1+379.3+4707.39</f>
        <v>26802.789999999997</v>
      </c>
      <c r="I357" s="18">
        <v>-687.83</v>
      </c>
      <c r="J357" s="18"/>
      <c r="K357" s="18"/>
      <c r="L357" s="13">
        <f>SUM(F357:K357)</f>
        <v>26114.959999999995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26802.789999999997</v>
      </c>
      <c r="I361" s="47">
        <f t="shared" si="22"/>
        <v>-687.83</v>
      </c>
      <c r="J361" s="47">
        <f t="shared" si="22"/>
        <v>0</v>
      </c>
      <c r="K361" s="47">
        <f t="shared" si="22"/>
        <v>0</v>
      </c>
      <c r="L361" s="47">
        <f t="shared" si="22"/>
        <v>26114.959999999995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0</v>
      </c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-687.83</v>
      </c>
      <c r="G367" s="63"/>
      <c r="H367" s="63"/>
      <c r="I367" s="56">
        <f>SUM(F367:H367)</f>
        <v>-687.83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-687.83</v>
      </c>
      <c r="G368" s="47">
        <f>SUM(G366:G367)</f>
        <v>0</v>
      </c>
      <c r="H368" s="47">
        <f>SUM(H366:H367)</f>
        <v>0</v>
      </c>
      <c r="I368" s="47">
        <f>SUM(I366:I367)</f>
        <v>-687.83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2270.0100000000002</v>
      </c>
      <c r="I395" s="18"/>
      <c r="J395" s="24" t="s">
        <v>289</v>
      </c>
      <c r="K395" s="24" t="s">
        <v>289</v>
      </c>
      <c r="L395" s="56">
        <f t="shared" si="26"/>
        <v>2270.0100000000002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3715.9</v>
      </c>
      <c r="I396" s="18"/>
      <c r="J396" s="24" t="s">
        <v>289</v>
      </c>
      <c r="K396" s="24" t="s">
        <v>289</v>
      </c>
      <c r="L396" s="56">
        <f t="shared" si="26"/>
        <v>3715.9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5985.91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5985.91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5985.91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5985.91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>
        <f>24769.32+4707.39</f>
        <v>29476.71</v>
      </c>
      <c r="L422" s="56">
        <f t="shared" si="29"/>
        <v>29476.71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29476.71</v>
      </c>
      <c r="L426" s="47">
        <f t="shared" si="30"/>
        <v>29476.71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29476.71</v>
      </c>
      <c r="L433" s="47">
        <f t="shared" si="32"/>
        <v>29476.71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158261.60999999999</v>
      </c>
      <c r="H438" s="18"/>
      <c r="I438" s="56">
        <f t="shared" ref="I438:I444" si="33">SUM(F438:H438)</f>
        <v>158261.60999999999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158261.60999999999</v>
      </c>
      <c r="H445" s="13">
        <f>SUM(H438:H444)</f>
        <v>0</v>
      </c>
      <c r="I445" s="13">
        <f>SUM(I438:I444)</f>
        <v>158261.60999999999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>
        <f>162969-4707.39</f>
        <v>158261.60999999999</v>
      </c>
      <c r="H455" s="18"/>
      <c r="I455" s="56">
        <f t="shared" si="34"/>
        <v>158261.60999999999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158261.60999999999</v>
      </c>
      <c r="H459" s="83">
        <f>SUM(H453:H458)</f>
        <v>0</v>
      </c>
      <c r="I459" s="83">
        <f>SUM(I453:I458)</f>
        <v>158261.60999999999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158261.60999999999</v>
      </c>
      <c r="H460" s="42">
        <f>H451+H459</f>
        <v>0</v>
      </c>
      <c r="I460" s="42">
        <f>I451+I459</f>
        <v>158261.60999999999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105947.45</v>
      </c>
      <c r="G464" s="18"/>
      <c r="H464" s="18"/>
      <c r="I464" s="18"/>
      <c r="J464" s="18">
        <v>181752.41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710311.39+4707.39</f>
        <v>715018.78</v>
      </c>
      <c r="G467" s="18">
        <f>21407.57+4707.39</f>
        <v>26114.959999999999</v>
      </c>
      <c r="H467" s="18">
        <v>37801.97</v>
      </c>
      <c r="I467" s="18"/>
      <c r="J467" s="18">
        <v>5985.91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715018.78</v>
      </c>
      <c r="G469" s="53">
        <f>SUM(G467:G468)</f>
        <v>26114.959999999999</v>
      </c>
      <c r="H469" s="53">
        <f>SUM(H467:H468)</f>
        <v>37801.97</v>
      </c>
      <c r="I469" s="53">
        <f>SUM(I467:I468)</f>
        <v>0</v>
      </c>
      <c r="J469" s="53">
        <f>SUM(J467:J468)</f>
        <v>5985.91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816258.84+4707.39</f>
        <v>820966.23</v>
      </c>
      <c r="G471" s="18">
        <f>21407.57+4707.39</f>
        <v>26114.959999999999</v>
      </c>
      <c r="H471" s="18">
        <v>37801.97</v>
      </c>
      <c r="I471" s="18"/>
      <c r="J471" s="18">
        <f>24769.32+4707.39</f>
        <v>29476.71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820966.23</v>
      </c>
      <c r="G473" s="53">
        <f>SUM(G471:G472)</f>
        <v>26114.959999999999</v>
      </c>
      <c r="H473" s="53">
        <f>SUM(H471:H472)</f>
        <v>37801.97</v>
      </c>
      <c r="I473" s="53">
        <f>SUM(I471:I472)</f>
        <v>0</v>
      </c>
      <c r="J473" s="53">
        <f>SUM(J471:J472)</f>
        <v>29476.71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0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158261.61000000002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39650.02+60</f>
        <v>39710.019999999997</v>
      </c>
      <c r="G520" s="18">
        <f>12013.62+248.34+2874.17+4481.73</f>
        <v>19617.86</v>
      </c>
      <c r="H520" s="18">
        <v>300</v>
      </c>
      <c r="I520" s="18"/>
      <c r="J520" s="18"/>
      <c r="K520" s="18"/>
      <c r="L520" s="88">
        <f>SUM(F520:K520)</f>
        <v>59627.88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39710.019999999997</v>
      </c>
      <c r="G523" s="108">
        <f t="shared" ref="G523:L523" si="36">SUM(G520:G522)</f>
        <v>19617.86</v>
      </c>
      <c r="H523" s="108">
        <f t="shared" si="36"/>
        <v>300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59627.88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18033+763.36</f>
        <v>18796.36</v>
      </c>
      <c r="I525" s="18"/>
      <c r="J525" s="18"/>
      <c r="K525" s="18"/>
      <c r="L525" s="88">
        <f>SUM(F525:K525)</f>
        <v>18796.36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18796.36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18796.36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>
        <f>285.4+17.93</f>
        <v>303.33</v>
      </c>
      <c r="H530" s="18">
        <f>3649.94+200</f>
        <v>3849.94</v>
      </c>
      <c r="I530" s="18"/>
      <c r="J530" s="18"/>
      <c r="K530" s="18">
        <v>16.670000000000002</v>
      </c>
      <c r="L530" s="88">
        <f>SUM(F530:K530)</f>
        <v>4169.9400000000005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303.33</v>
      </c>
      <c r="H533" s="89">
        <f t="shared" si="38"/>
        <v>3849.94</v>
      </c>
      <c r="I533" s="89">
        <f t="shared" si="38"/>
        <v>0</v>
      </c>
      <c r="J533" s="89">
        <f t="shared" si="38"/>
        <v>0</v>
      </c>
      <c r="K533" s="89">
        <f t="shared" si="38"/>
        <v>16.670000000000002</v>
      </c>
      <c r="L533" s="89">
        <f t="shared" si="38"/>
        <v>4169.9400000000005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39710.019999999997</v>
      </c>
      <c r="G544" s="89">
        <f t="shared" ref="G544:L544" si="41">G523+G528+G533+G538+G543</f>
        <v>19921.190000000002</v>
      </c>
      <c r="H544" s="89">
        <f t="shared" si="41"/>
        <v>22946.3</v>
      </c>
      <c r="I544" s="89">
        <f t="shared" si="41"/>
        <v>0</v>
      </c>
      <c r="J544" s="89">
        <f t="shared" si="41"/>
        <v>0</v>
      </c>
      <c r="K544" s="89">
        <f t="shared" si="41"/>
        <v>16.670000000000002</v>
      </c>
      <c r="L544" s="89">
        <f t="shared" si="41"/>
        <v>82594.179999999993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59627.88</v>
      </c>
      <c r="G548" s="87">
        <f>L525</f>
        <v>18796.36</v>
      </c>
      <c r="H548" s="87">
        <f>L530</f>
        <v>4169.9400000000005</v>
      </c>
      <c r="I548" s="87">
        <f>L535</f>
        <v>0</v>
      </c>
      <c r="J548" s="87">
        <f>L540</f>
        <v>0</v>
      </c>
      <c r="K548" s="87">
        <f>SUM(F548:J548)</f>
        <v>82594.179999999993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59627.88</v>
      </c>
      <c r="G551" s="89">
        <f t="shared" si="42"/>
        <v>18796.36</v>
      </c>
      <c r="H551" s="89">
        <f t="shared" si="42"/>
        <v>4169.9400000000005</v>
      </c>
      <c r="I551" s="89">
        <f t="shared" si="42"/>
        <v>0</v>
      </c>
      <c r="J551" s="89">
        <f t="shared" si="42"/>
        <v>0</v>
      </c>
      <c r="K551" s="89">
        <f t="shared" si="42"/>
        <v>82594.179999999993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f>114171.19+234593.45</f>
        <v>348764.64</v>
      </c>
      <c r="I574" s="87">
        <f>SUM(F574:H574)</f>
        <v>348764.64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18803.59</v>
      </c>
      <c r="I590" s="18"/>
      <c r="J590" s="18">
        <v>24925.71</v>
      </c>
      <c r="K590" s="104">
        <f t="shared" ref="K590:K596" si="48">SUM(H590:J590)</f>
        <v>43729.3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18803.59</v>
      </c>
      <c r="I597" s="108">
        <f>SUM(I590:I596)</f>
        <v>0</v>
      </c>
      <c r="J597" s="108">
        <f>SUM(J590:J596)</f>
        <v>24925.71</v>
      </c>
      <c r="K597" s="108">
        <f>SUM(K590:K596)</f>
        <v>43729.3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3934.27</v>
      </c>
      <c r="I603" s="18"/>
      <c r="J603" s="18"/>
      <c r="K603" s="104">
        <f>SUM(H603:J603)</f>
        <v>3934.27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3934.27</v>
      </c>
      <c r="I604" s="108">
        <f>SUM(I601:I603)</f>
        <v>0</v>
      </c>
      <c r="J604" s="108">
        <f>SUM(J601:J603)</f>
        <v>0</v>
      </c>
      <c r="K604" s="108">
        <f>SUM(K601:K603)</f>
        <v>3934.27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0</v>
      </c>
      <c r="H616" s="109">
        <f>SUM(F51)</f>
        <v>0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2008.3</v>
      </c>
      <c r="H617" s="109">
        <f>SUM(G51)</f>
        <v>2008.3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14112.44</v>
      </c>
      <c r="H618" s="109">
        <f>SUM(H51)</f>
        <v>14112.44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158261.60999999999</v>
      </c>
      <c r="H620" s="109">
        <f>SUM(J51)</f>
        <v>158261.60999999999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0</v>
      </c>
      <c r="H621" s="109">
        <f>F475</f>
        <v>0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158261.60999999999</v>
      </c>
      <c r="H625" s="109">
        <f>J475</f>
        <v>158261.61000000002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715018.77999999991</v>
      </c>
      <c r="H626" s="104">
        <f>SUM(F467)</f>
        <v>715018.78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26114.959999999999</v>
      </c>
      <c r="H627" s="104">
        <f>SUM(G467)</f>
        <v>26114.959999999999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37801.97</v>
      </c>
      <c r="H628" s="104">
        <f>SUM(H467)</f>
        <v>37801.97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5985.91</v>
      </c>
      <c r="H630" s="104">
        <f>SUM(J467)</f>
        <v>5985.91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820966.23</v>
      </c>
      <c r="H631" s="104">
        <f>SUM(F471)</f>
        <v>820966.23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37801.97</v>
      </c>
      <c r="H632" s="104">
        <f>SUM(H471)</f>
        <v>37801.97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-687.83</v>
      </c>
      <c r="H633" s="104">
        <f>I368</f>
        <v>-687.83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26114.959999999995</v>
      </c>
      <c r="H634" s="104">
        <f>SUM(G471)</f>
        <v>26114.959999999999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5985.91</v>
      </c>
      <c r="H636" s="164">
        <f>SUM(J467)</f>
        <v>5985.91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29476.71</v>
      </c>
      <c r="H637" s="164">
        <f>SUM(J471)</f>
        <v>29476.71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158261.60999999999</v>
      </c>
      <c r="H639" s="104">
        <f>SUM(G460)</f>
        <v>158261.60999999999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158261.60999999999</v>
      </c>
      <c r="H641" s="104">
        <f>SUM(I460)</f>
        <v>158261.60999999999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5985.91</v>
      </c>
      <c r="H643" s="104">
        <f>H407</f>
        <v>5985.91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5985.91</v>
      </c>
      <c r="H645" s="104">
        <f>L407</f>
        <v>5985.91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43729.3</v>
      </c>
      <c r="H646" s="104">
        <f>L207+L225+L243</f>
        <v>43729.3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3934.27</v>
      </c>
      <c r="H647" s="104">
        <f>(J256+J337)-(J254+J335)</f>
        <v>3934.2700000000004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18803.59</v>
      </c>
      <c r="H648" s="104">
        <f>H597</f>
        <v>18803.59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24925.71</v>
      </c>
      <c r="H650" s="104">
        <f>J597</f>
        <v>24925.71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10727.64</v>
      </c>
      <c r="H651" s="104">
        <f>K262+K344</f>
        <v>10727.64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500685.85000000003</v>
      </c>
      <c r="G659" s="19">
        <f>(L228+L308+L358)</f>
        <v>0</v>
      </c>
      <c r="H659" s="19">
        <f>(L246+L327+L359)</f>
        <v>373690.35000000003</v>
      </c>
      <c r="I659" s="19">
        <f>SUM(F659:H659)</f>
        <v>874376.20000000007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4965.6499999999996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4965.6499999999996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18803.59</v>
      </c>
      <c r="G661" s="19">
        <f>(L225+L305)-(J225+J305)</f>
        <v>0</v>
      </c>
      <c r="H661" s="19">
        <f>(L243+L324)-(J243+J324)</f>
        <v>24925.71</v>
      </c>
      <c r="I661" s="19">
        <f>SUM(F661:H661)</f>
        <v>43729.3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3934.27</v>
      </c>
      <c r="G662" s="200">
        <f>SUM(G574:G586)+SUM(I601:I603)+L611</f>
        <v>0</v>
      </c>
      <c r="H662" s="200">
        <f>SUM(H574:H586)+SUM(J601:J603)+L612</f>
        <v>348764.64</v>
      </c>
      <c r="I662" s="19">
        <f>SUM(F662:H662)</f>
        <v>352698.91000000003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472982.34</v>
      </c>
      <c r="G663" s="19">
        <f>G659-SUM(G660:G662)</f>
        <v>0</v>
      </c>
      <c r="H663" s="19">
        <f>H659-SUM(H660:H662)</f>
        <v>0</v>
      </c>
      <c r="I663" s="19">
        <f>I659-SUM(I660:I662)</f>
        <v>472982.34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24.71</v>
      </c>
      <c r="G664" s="249"/>
      <c r="H664" s="249"/>
      <c r="I664" s="19">
        <f>SUM(F664:H664)</f>
        <v>24.71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19141.330000000002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19141.330000000002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19141.330000000002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19141.330000000002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C11" sqref="C11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STARK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103573.85</v>
      </c>
      <c r="C9" s="230">
        <f>'DOE25'!G196+'DOE25'!G214+'DOE25'!G232+'DOE25'!G275+'DOE25'!G294+'DOE25'!G313</f>
        <v>46336.45</v>
      </c>
    </row>
    <row r="10" spans="1:3">
      <c r="A10" t="s">
        <v>779</v>
      </c>
      <c r="B10" s="241">
        <f>76140.21+3525+1900+16995.41+711.75+538.25+1025.04</f>
        <v>100835.66</v>
      </c>
      <c r="C10" s="241">
        <f>25843.53+313.5+5695.68+7441.67+2800+735.4+537.75+269.67+417.01+484.2+1307.02+249.18+95.63+78.41+67.8</f>
        <v>46336.45</v>
      </c>
    </row>
    <row r="11" spans="1:3">
      <c r="A11" t="s">
        <v>780</v>
      </c>
      <c r="B11" s="241">
        <v>2738.19</v>
      </c>
      <c r="C11" s="241"/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103573.85</v>
      </c>
      <c r="C13" s="232">
        <f>SUM(C10:C12)</f>
        <v>46336.45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39710.019999999997</v>
      </c>
      <c r="C18" s="230">
        <f>'DOE25'!G197+'DOE25'!G215+'DOE25'!G233+'DOE25'!G276+'DOE25'!G295+'DOE25'!G314</f>
        <v>19617.86</v>
      </c>
    </row>
    <row r="19" spans="1:3">
      <c r="A19" t="s">
        <v>779</v>
      </c>
      <c r="B19" s="241">
        <v>39650.019999999997</v>
      </c>
      <c r="C19" s="241">
        <f>12013.62+248.34+2874.17+4481.73</f>
        <v>19617.86</v>
      </c>
    </row>
    <row r="20" spans="1:3">
      <c r="A20" t="s">
        <v>780</v>
      </c>
      <c r="B20" s="241">
        <v>60</v>
      </c>
      <c r="C20" s="241"/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39710.019999999997</v>
      </c>
      <c r="C22" s="232">
        <f>SUM(C19:C21)</f>
        <v>19617.86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31" sqref="D31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STARK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554450.96</v>
      </c>
      <c r="D5" s="20">
        <f>SUM('DOE25'!L196:L199)+SUM('DOE25'!L214:L217)+SUM('DOE25'!L232:L235)-F5-G5</f>
        <v>553703.74</v>
      </c>
      <c r="E5" s="244"/>
      <c r="F5" s="256">
        <f>SUM('DOE25'!J196:J199)+SUM('DOE25'!J214:J217)+SUM('DOE25'!J232:J235)</f>
        <v>747.22</v>
      </c>
      <c r="G5" s="53">
        <f>SUM('DOE25'!K196:K199)+SUM('DOE25'!K214:K217)+SUM('DOE25'!K232:K235)</f>
        <v>0</v>
      </c>
      <c r="H5" s="260"/>
    </row>
    <row r="6" spans="1:9">
      <c r="A6" s="32">
        <v>2100</v>
      </c>
      <c r="B6" t="s">
        <v>801</v>
      </c>
      <c r="C6" s="246">
        <f t="shared" si="0"/>
        <v>15808.43</v>
      </c>
      <c r="D6" s="20">
        <f>'DOE25'!L201+'DOE25'!L219+'DOE25'!L237-F6-G6</f>
        <v>15808.43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14631.3</v>
      </c>
      <c r="D7" s="20">
        <f>'DOE25'!L202+'DOE25'!L220+'DOE25'!L238-F7-G7</f>
        <v>14631.3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34638.020000000011</v>
      </c>
      <c r="D8" s="244"/>
      <c r="E8" s="20">
        <f>'DOE25'!L203+'DOE25'!L221+'DOE25'!L239-F8-G8-D9-D11</f>
        <v>32481.610000000011</v>
      </c>
      <c r="F8" s="256">
        <f>'DOE25'!J203+'DOE25'!J221+'DOE25'!J239</f>
        <v>0</v>
      </c>
      <c r="G8" s="53">
        <f>'DOE25'!K203+'DOE25'!K221+'DOE25'!K239</f>
        <v>2156.41</v>
      </c>
      <c r="H8" s="260"/>
    </row>
    <row r="9" spans="1:9">
      <c r="A9" s="32">
        <v>2310</v>
      </c>
      <c r="B9" t="s">
        <v>818</v>
      </c>
      <c r="C9" s="246">
        <f t="shared" si="0"/>
        <v>22081.040000000001</v>
      </c>
      <c r="D9" s="245">
        <v>22081.040000000001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11260.5</v>
      </c>
      <c r="D10" s="244"/>
      <c r="E10" s="245">
        <v>11260.5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31098.94</v>
      </c>
      <c r="D11" s="245">
        <v>31098.94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47185.31</v>
      </c>
      <c r="D12" s="20">
        <f>'DOE25'!L204+'DOE25'!L222+'DOE25'!L240-F12-G12</f>
        <v>46207.159999999996</v>
      </c>
      <c r="E12" s="244"/>
      <c r="F12" s="256">
        <f>'DOE25'!J204+'DOE25'!J222+'DOE25'!J240</f>
        <v>0</v>
      </c>
      <c r="G12" s="53">
        <f>'DOE25'!K204+'DOE25'!K222+'DOE25'!K240</f>
        <v>978.15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46835.969999999994</v>
      </c>
      <c r="D14" s="20">
        <f>'DOE25'!L206+'DOE25'!L224+'DOE25'!L242-F14-G14</f>
        <v>45996.45</v>
      </c>
      <c r="E14" s="244"/>
      <c r="F14" s="256">
        <f>'DOE25'!J206+'DOE25'!J224+'DOE25'!J242</f>
        <v>839.52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43729.3</v>
      </c>
      <c r="D15" s="20">
        <f>'DOE25'!L207+'DOE25'!L225+'DOE25'!L243-F15-G15</f>
        <v>43729.3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-220.68</v>
      </c>
      <c r="D22" s="244"/>
      <c r="E22" s="244"/>
      <c r="F22" s="256">
        <f>'DOE25'!L254+'DOE25'!L335</f>
        <v>-220.68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26114.959999999995</v>
      </c>
      <c r="D29" s="20">
        <f>'DOE25'!L357+'DOE25'!L358+'DOE25'!L359-'DOE25'!I366-F29-G29</f>
        <v>26114.959999999995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37801.97</v>
      </c>
      <c r="D31" s="20">
        <f>'DOE25'!L289+'DOE25'!L308+'DOE25'!L327+'DOE25'!L332+'DOE25'!L333+'DOE25'!L334-F31-G31</f>
        <v>35099.19</v>
      </c>
      <c r="E31" s="244"/>
      <c r="F31" s="256">
        <f>'DOE25'!J289+'DOE25'!J308+'DOE25'!J327+'DOE25'!J332+'DOE25'!J333+'DOE25'!J334</f>
        <v>2347.5300000000002</v>
      </c>
      <c r="G31" s="53">
        <f>'DOE25'!K289+'DOE25'!K308+'DOE25'!K327+'DOE25'!K332+'DOE25'!K333+'DOE25'!K334</f>
        <v>355.25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834470.51</v>
      </c>
      <c r="E33" s="247">
        <f>SUM(E5:E31)</f>
        <v>43742.110000000015</v>
      </c>
      <c r="F33" s="247">
        <f>SUM(F5:F31)</f>
        <v>3713.59</v>
      </c>
      <c r="G33" s="247">
        <f>SUM(G5:G31)</f>
        <v>3489.81</v>
      </c>
      <c r="H33" s="247">
        <f>SUM(H5:H31)</f>
        <v>0</v>
      </c>
    </row>
    <row r="35" spans="2:8" ht="12" thickBot="1">
      <c r="B35" s="254" t="s">
        <v>847</v>
      </c>
      <c r="D35" s="255">
        <f>E33</f>
        <v>43742.110000000015</v>
      </c>
      <c r="E35" s="250"/>
    </row>
    <row r="36" spans="2:8" ht="12" thickTop="1">
      <c r="B36" t="s">
        <v>815</v>
      </c>
      <c r="D36" s="20">
        <f>D33</f>
        <v>834470.51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STARK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-45597.450000000004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158261.60999999999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14112.44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31485.01</v>
      </c>
      <c r="D13" s="95">
        <f>'DOE25'!G14</f>
        <v>2008.3</v>
      </c>
      <c r="E13" s="95">
        <f>'DOE25'!H14</f>
        <v>14112.44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-3.637978807091713E-12</v>
      </c>
      <c r="D18" s="41">
        <f>SUM(D8:D17)</f>
        <v>2008.3</v>
      </c>
      <c r="E18" s="41">
        <f>SUM(E8:E17)</f>
        <v>14112.44</v>
      </c>
      <c r="F18" s="41">
        <f>SUM(F8:F17)</f>
        <v>0</v>
      </c>
      <c r="G18" s="41">
        <f>SUM(G8:G17)</f>
        <v>158261.60999999999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2008.3</v>
      </c>
      <c r="E21" s="95">
        <f>'DOE25'!H22</f>
        <v>14112.44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0</v>
      </c>
      <c r="D31" s="41">
        <f>SUM(D21:D30)</f>
        <v>2008.3</v>
      </c>
      <c r="E31" s="41">
        <f>SUM(E21:E30)</f>
        <v>14112.44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158261.60999999999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0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158261.60999999999</v>
      </c>
      <c r="H49" s="124"/>
      <c r="I49" s="124"/>
    </row>
    <row r="50" spans="1:9" ht="12" thickTop="1">
      <c r="A50" s="38" t="s">
        <v>895</v>
      </c>
      <c r="B50" s="2"/>
      <c r="C50" s="41">
        <f>C49+C31</f>
        <v>0</v>
      </c>
      <c r="D50" s="41">
        <f>D49+D31</f>
        <v>2008.3</v>
      </c>
      <c r="E50" s="41">
        <f>E49+E31</f>
        <v>14112.44</v>
      </c>
      <c r="F50" s="41">
        <f>F49+F31</f>
        <v>0</v>
      </c>
      <c r="G50" s="41">
        <f>G49+G31</f>
        <v>158261.60999999999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163092.03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192.66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5985.91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4965.6499999999996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0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192.66</v>
      </c>
      <c r="D61" s="130">
        <f>SUM(D56:D60)</f>
        <v>4965.6499999999996</v>
      </c>
      <c r="E61" s="130">
        <f>SUM(E56:E60)</f>
        <v>0</v>
      </c>
      <c r="F61" s="130">
        <f>SUM(F56:F60)</f>
        <v>0</v>
      </c>
      <c r="G61" s="130">
        <f>SUM(G56:G60)</f>
        <v>5985.91</v>
      </c>
      <c r="H61"/>
      <c r="I61"/>
    </row>
    <row r="62" spans="1:9" ht="12" thickTop="1">
      <c r="A62" s="29" t="s">
        <v>175</v>
      </c>
      <c r="B62" s="6"/>
      <c r="C62" s="22">
        <f>C55+C61</f>
        <v>163284.69</v>
      </c>
      <c r="D62" s="22">
        <f>D55+D61</f>
        <v>4965.6499999999996</v>
      </c>
      <c r="E62" s="22">
        <f>E55+E61</f>
        <v>0</v>
      </c>
      <c r="F62" s="22">
        <f>F55+F61</f>
        <v>0</v>
      </c>
      <c r="G62" s="22">
        <f>G55+G61</f>
        <v>5985.91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347649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130334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300.94999999999891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282.06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478566.01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152.76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0</v>
      </c>
      <c r="D77" s="130">
        <f>SUM(D71:D76)</f>
        <v>152.76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478566.01</v>
      </c>
      <c r="D80" s="130">
        <f>SUM(D78:D79)+D77+D69</f>
        <v>152.76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9673.1200000000008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17057.05</v>
      </c>
      <c r="D87" s="95">
        <f>SUM('DOE25'!G152:G160)</f>
        <v>10268.91</v>
      </c>
      <c r="E87" s="95">
        <f>SUM('DOE25'!H152:H160)</f>
        <v>37801.97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16961.2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43691.369999999995</v>
      </c>
      <c r="D90" s="131">
        <f>SUM(D84:D89)</f>
        <v>10268.91</v>
      </c>
      <c r="E90" s="131">
        <f>SUM(E84:E89)</f>
        <v>37801.97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10727.64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29476.71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29476.71</v>
      </c>
      <c r="D102" s="86">
        <f>SUM(D92:D101)</f>
        <v>10727.64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715018.77999999991</v>
      </c>
      <c r="D103" s="86">
        <f>D62+D80+D90+D102</f>
        <v>26114.959999999999</v>
      </c>
      <c r="E103" s="86">
        <f>E62+E80+E90+E102</f>
        <v>37801.97</v>
      </c>
      <c r="F103" s="86">
        <f>F62+F80+F90+F102</f>
        <v>0</v>
      </c>
      <c r="G103" s="86">
        <f>G62+G80+G102</f>
        <v>5985.91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476025.72000000003</v>
      </c>
      <c r="D108" s="24" t="s">
        <v>289</v>
      </c>
      <c r="E108" s="95">
        <f>('DOE25'!L275)+('DOE25'!L294)+('DOE25'!L313)</f>
        <v>37554.97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78424.239999999991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1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554450.96</v>
      </c>
      <c r="D114" s="86">
        <f>SUM(D108:D113)</f>
        <v>0</v>
      </c>
      <c r="E114" s="86">
        <f>SUM(E108:E113)</f>
        <v>37554.97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15808.43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14631.3</v>
      </c>
      <c r="D118" s="24" t="s">
        <v>289</v>
      </c>
      <c r="E118" s="95">
        <f>+('DOE25'!L281)+('DOE25'!L300)+('DOE25'!L319)</f>
        <v>247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87818.000000000015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47185.31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46835.969999999994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43729.3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26114.959999999995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256008.31</v>
      </c>
      <c r="D127" s="86">
        <f>SUM(D117:D126)</f>
        <v>26114.959999999995</v>
      </c>
      <c r="E127" s="86">
        <f>SUM(E117:E126)</f>
        <v>247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-220.68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29476.71</v>
      </c>
    </row>
    <row r="134" spans="1:7">
      <c r="A134" t="s">
        <v>233</v>
      </c>
      <c r="B134" s="32" t="s">
        <v>234</v>
      </c>
      <c r="C134" s="95">
        <f>'DOE25'!L262</f>
        <v>10727.64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5985.91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-5985.91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10506.96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29476.71</v>
      </c>
    </row>
    <row r="144" spans="1:7" ht="12.75" thickTop="1" thickBot="1">
      <c r="A144" s="33" t="s">
        <v>244</v>
      </c>
      <c r="C144" s="86">
        <f>(C114+C127+C143)</f>
        <v>820966.23</v>
      </c>
      <c r="D144" s="86">
        <f>(D114+D127+D143)</f>
        <v>26114.959999999995</v>
      </c>
      <c r="E144" s="86">
        <f>(E114+E127+E143)</f>
        <v>37801.97</v>
      </c>
      <c r="F144" s="86">
        <f>(F114+F127+F143)</f>
        <v>0</v>
      </c>
      <c r="G144" s="86">
        <f>(G114+G127+G143)</f>
        <v>29476.71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STARK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19141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19141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513581</v>
      </c>
      <c r="D10" s="182">
        <f>ROUND((C10/$C$28)*100,1)</f>
        <v>59.1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78424</v>
      </c>
      <c r="D11" s="182">
        <f>ROUND((C11/$C$28)*100,1)</f>
        <v>9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1</v>
      </c>
      <c r="D13" s="182">
        <f>ROUND((C13/$C$28)*100,1)</f>
        <v>0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15808</v>
      </c>
      <c r="D15" s="182">
        <f t="shared" ref="D15:D27" si="0">ROUND((C15/$C$28)*100,1)</f>
        <v>1.8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14878</v>
      </c>
      <c r="D16" s="182">
        <f t="shared" si="0"/>
        <v>1.7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87818</v>
      </c>
      <c r="D17" s="182">
        <f t="shared" si="0"/>
        <v>10.1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47185</v>
      </c>
      <c r="D18" s="182">
        <f t="shared" si="0"/>
        <v>5.4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46836</v>
      </c>
      <c r="D20" s="182">
        <f t="shared" si="0"/>
        <v>5.4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43729</v>
      </c>
      <c r="D21" s="182">
        <f t="shared" si="0"/>
        <v>5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21149.35</v>
      </c>
      <c r="D27" s="182">
        <f t="shared" si="0"/>
        <v>2.4</v>
      </c>
    </row>
    <row r="28" spans="1:4">
      <c r="B28" s="187" t="s">
        <v>723</v>
      </c>
      <c r="C28" s="180">
        <f>SUM(C10:C27)</f>
        <v>869409.35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-221</v>
      </c>
    </row>
    <row r="30" spans="1:4">
      <c r="B30" s="187" t="s">
        <v>729</v>
      </c>
      <c r="C30" s="180">
        <f>SUM(C28:C29)</f>
        <v>869188.35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163092</v>
      </c>
      <c r="D35" s="182">
        <f t="shared" ref="D35:D40" si="1">ROUND((C35/$C$41)*100,1)</f>
        <v>22</v>
      </c>
    </row>
    <row r="36" spans="1:4">
      <c r="B36" s="185" t="s">
        <v>743</v>
      </c>
      <c r="C36" s="179">
        <f>SUM('DOE25'!F111:J111)-SUM('DOE25'!G96:G109)+('DOE25'!F173+'DOE25'!F174+'DOE25'!I173+'DOE25'!I174)-C35</f>
        <v>6178.6000000000058</v>
      </c>
      <c r="D36" s="182">
        <f t="shared" si="1"/>
        <v>0.8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478284</v>
      </c>
      <c r="D37" s="182">
        <f t="shared" si="1"/>
        <v>64.7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435</v>
      </c>
      <c r="D38" s="182">
        <f t="shared" si="1"/>
        <v>0.1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91762</v>
      </c>
      <c r="D39" s="182">
        <f t="shared" si="1"/>
        <v>12.4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739751.6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STARK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6" t="s">
        <v>848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F0A" sheet="1" objects="1" scenarios="1"/>
  <mergeCells count="223">
    <mergeCell ref="C84:M84"/>
    <mergeCell ref="C73:M73"/>
    <mergeCell ref="C74:M74"/>
    <mergeCell ref="C65:M65"/>
    <mergeCell ref="C75:M75"/>
    <mergeCell ref="C76:M76"/>
    <mergeCell ref="C90:M90"/>
    <mergeCell ref="C81:M81"/>
    <mergeCell ref="C82:M82"/>
    <mergeCell ref="C77:M77"/>
    <mergeCell ref="C78:M78"/>
    <mergeCell ref="C79:M79"/>
    <mergeCell ref="C80:M80"/>
    <mergeCell ref="C88:M88"/>
    <mergeCell ref="C83:M83"/>
    <mergeCell ref="C85:M85"/>
    <mergeCell ref="C86:M86"/>
    <mergeCell ref="C87:M87"/>
    <mergeCell ref="C89:M89"/>
    <mergeCell ref="C70:M70"/>
    <mergeCell ref="A72:E72"/>
    <mergeCell ref="C66:M66"/>
    <mergeCell ref="C63:M63"/>
    <mergeCell ref="C64:M64"/>
    <mergeCell ref="C62:M62"/>
    <mergeCell ref="C67:M67"/>
    <mergeCell ref="C68:M68"/>
    <mergeCell ref="C69:M69"/>
    <mergeCell ref="C49:M49"/>
    <mergeCell ref="C51:M51"/>
    <mergeCell ref="C52:M52"/>
    <mergeCell ref="C50:M50"/>
    <mergeCell ref="C61:M61"/>
    <mergeCell ref="C53:M53"/>
    <mergeCell ref="C59:M59"/>
    <mergeCell ref="C19:M19"/>
    <mergeCell ref="C13:M13"/>
    <mergeCell ref="C16:M16"/>
    <mergeCell ref="C17:M17"/>
    <mergeCell ref="C58:M58"/>
    <mergeCell ref="C41:M41"/>
    <mergeCell ref="C45:M45"/>
    <mergeCell ref="C40:M40"/>
    <mergeCell ref="C44:M44"/>
    <mergeCell ref="C43:M43"/>
    <mergeCell ref="C54:M54"/>
    <mergeCell ref="C55:M55"/>
    <mergeCell ref="C56:M56"/>
    <mergeCell ref="C57:M57"/>
    <mergeCell ref="A1:I1"/>
    <mergeCell ref="C3:M3"/>
    <mergeCell ref="C4:M4"/>
    <mergeCell ref="F2:I2"/>
    <mergeCell ref="A2:E2"/>
    <mergeCell ref="C60:M60"/>
    <mergeCell ref="C11:M11"/>
    <mergeCell ref="C12:M12"/>
    <mergeCell ref="C47:M47"/>
    <mergeCell ref="C48:M48"/>
    <mergeCell ref="C14:M14"/>
    <mergeCell ref="C15:M15"/>
    <mergeCell ref="C18:M18"/>
    <mergeCell ref="C5:M5"/>
    <mergeCell ref="C6:M6"/>
    <mergeCell ref="C7:M7"/>
    <mergeCell ref="C8:M8"/>
    <mergeCell ref="C9:M9"/>
    <mergeCell ref="C10:M10"/>
    <mergeCell ref="C36:M36"/>
    <mergeCell ref="C35:M35"/>
    <mergeCell ref="C32:M32"/>
    <mergeCell ref="C46:M46"/>
    <mergeCell ref="C42:M42"/>
    <mergeCell ref="C20:M20"/>
    <mergeCell ref="C23:M23"/>
    <mergeCell ref="C24:M24"/>
    <mergeCell ref="C25:M25"/>
    <mergeCell ref="C22:M22"/>
    <mergeCell ref="C26:M26"/>
    <mergeCell ref="C21:M21"/>
    <mergeCell ref="P29:Z29"/>
    <mergeCell ref="AC29:AM29"/>
    <mergeCell ref="C31:M31"/>
    <mergeCell ref="P31:Z31"/>
    <mergeCell ref="AC31:AM31"/>
    <mergeCell ref="AP29:AZ29"/>
    <mergeCell ref="C27:M27"/>
    <mergeCell ref="C28:M28"/>
    <mergeCell ref="C30:M30"/>
    <mergeCell ref="CC31:CM31"/>
    <mergeCell ref="CC32:CM32"/>
    <mergeCell ref="BP30:BZ30"/>
    <mergeCell ref="BC31:BM31"/>
    <mergeCell ref="BC32:BM32"/>
    <mergeCell ref="BC30:BM30"/>
    <mergeCell ref="BC29:BM29"/>
    <mergeCell ref="P30:Z30"/>
    <mergeCell ref="AC30:AM30"/>
    <mergeCell ref="AP30:AZ30"/>
    <mergeCell ref="BP31:BZ31"/>
    <mergeCell ref="AP31:AZ31"/>
    <mergeCell ref="HP38:HZ38"/>
    <mergeCell ref="GC38:GM38"/>
    <mergeCell ref="GP32:GZ32"/>
    <mergeCell ref="HC32:HM32"/>
    <mergeCell ref="GP38:GZ38"/>
    <mergeCell ref="FP38:FZ38"/>
    <mergeCell ref="EC38:EM38"/>
    <mergeCell ref="EP38:EZ38"/>
    <mergeCell ref="IC30:IM30"/>
    <mergeCell ref="GC30:GM30"/>
    <mergeCell ref="HP32:HZ32"/>
    <mergeCell ref="GP30:GZ30"/>
    <mergeCell ref="EC32:EM32"/>
    <mergeCell ref="EP32:EZ32"/>
    <mergeCell ref="BC38:BM38"/>
    <mergeCell ref="BP38:BZ38"/>
    <mergeCell ref="CC38:CM38"/>
    <mergeCell ref="HC38:HM38"/>
    <mergeCell ref="FC38:FM38"/>
    <mergeCell ref="DC38:DM38"/>
    <mergeCell ref="C39:M39"/>
    <mergeCell ref="GP29:GZ29"/>
    <mergeCell ref="C33:M33"/>
    <mergeCell ref="C37:M37"/>
    <mergeCell ref="C38:M38"/>
    <mergeCell ref="DP38:DZ38"/>
    <mergeCell ref="BP29:BZ29"/>
    <mergeCell ref="CC29:CM29"/>
    <mergeCell ref="BC39:BM39"/>
    <mergeCell ref="P39:Z39"/>
    <mergeCell ref="AC39:AM39"/>
    <mergeCell ref="AP39:AZ39"/>
    <mergeCell ref="C34:M34"/>
    <mergeCell ref="BP32:BZ32"/>
    <mergeCell ref="P32:Z32"/>
    <mergeCell ref="AC32:AM32"/>
    <mergeCell ref="AP32:AZ32"/>
    <mergeCell ref="C29:M29"/>
    <mergeCell ref="IP29:IV29"/>
    <mergeCell ref="CC30:CM30"/>
    <mergeCell ref="CP30:CZ30"/>
    <mergeCell ref="HC30:HM30"/>
    <mergeCell ref="HP30:HZ30"/>
    <mergeCell ref="IP30:IV30"/>
    <mergeCell ref="EC30:EM30"/>
    <mergeCell ref="EP30:EZ30"/>
    <mergeCell ref="FC30:FM30"/>
    <mergeCell ref="FP30:FZ30"/>
    <mergeCell ref="HP29:HZ29"/>
    <mergeCell ref="IC29:IM29"/>
    <mergeCell ref="EP29:EZ29"/>
    <mergeCell ref="FC29:FM29"/>
    <mergeCell ref="FP29:FZ29"/>
    <mergeCell ref="GC29:GM29"/>
    <mergeCell ref="DC30:DM30"/>
    <mergeCell ref="DP30:DZ30"/>
    <mergeCell ref="HC29:HM29"/>
    <mergeCell ref="CP29:CZ29"/>
    <mergeCell ref="DC29:DM29"/>
    <mergeCell ref="DP29:DZ29"/>
    <mergeCell ref="EC29:EM29"/>
    <mergeCell ref="CP39:CZ39"/>
    <mergeCell ref="CP31:CZ31"/>
    <mergeCell ref="DC31:DM31"/>
    <mergeCell ref="FP31:FZ31"/>
    <mergeCell ref="GC31:GM31"/>
    <mergeCell ref="GP31:GZ31"/>
    <mergeCell ref="IP38:IV38"/>
    <mergeCell ref="IC31:IM31"/>
    <mergeCell ref="IP31:IV31"/>
    <mergeCell ref="IC32:IM32"/>
    <mergeCell ref="IP32:IV32"/>
    <mergeCell ref="HC31:HM31"/>
    <mergeCell ref="DP31:DZ31"/>
    <mergeCell ref="EC31:EM31"/>
    <mergeCell ref="EP31:EZ31"/>
    <mergeCell ref="FC31:FM31"/>
    <mergeCell ref="FC32:FM32"/>
    <mergeCell ref="HP31:HZ31"/>
    <mergeCell ref="IC38:IM38"/>
    <mergeCell ref="FP32:FZ32"/>
    <mergeCell ref="GC32:GM32"/>
    <mergeCell ref="DC32:DM32"/>
    <mergeCell ref="DP32:DZ32"/>
    <mergeCell ref="CP32:CZ32"/>
    <mergeCell ref="P40:Z40"/>
    <mergeCell ref="AC40:AM40"/>
    <mergeCell ref="P38:Z38"/>
    <mergeCell ref="AC38:AM38"/>
    <mergeCell ref="DC39:DM39"/>
    <mergeCell ref="DP39:DZ39"/>
    <mergeCell ref="AP38:AZ38"/>
    <mergeCell ref="CP38:CZ38"/>
    <mergeCell ref="IC40:IM40"/>
    <mergeCell ref="GC39:GM39"/>
    <mergeCell ref="HC40:HM40"/>
    <mergeCell ref="EC40:EM40"/>
    <mergeCell ref="FC40:FM40"/>
    <mergeCell ref="EC39:EM39"/>
    <mergeCell ref="EP40:EZ40"/>
    <mergeCell ref="AP40:AZ40"/>
    <mergeCell ref="CC40:CM40"/>
    <mergeCell ref="CP40:CZ40"/>
    <mergeCell ref="BC40:BM40"/>
    <mergeCell ref="DC40:DM40"/>
    <mergeCell ref="DP40:DZ40"/>
    <mergeCell ref="BP40:BZ40"/>
    <mergeCell ref="BP39:BZ39"/>
    <mergeCell ref="CC39:CM39"/>
    <mergeCell ref="IP40:IV40"/>
    <mergeCell ref="HP40:HZ40"/>
    <mergeCell ref="IP39:IV39"/>
    <mergeCell ref="EP39:EZ39"/>
    <mergeCell ref="FC39:FM39"/>
    <mergeCell ref="FP39:FZ39"/>
    <mergeCell ref="GP39:GZ39"/>
    <mergeCell ref="IC39:IM39"/>
    <mergeCell ref="HP39:HZ39"/>
    <mergeCell ref="HC39:HM39"/>
    <mergeCell ref="GP40:GZ40"/>
    <mergeCell ref="FP40:FZ40"/>
    <mergeCell ref="GC40:G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2012-10-19T17:54:46Z</cp:lastPrinted>
  <dcterms:created xsi:type="dcterms:W3CDTF">1997-12-04T19:04:30Z</dcterms:created>
  <dcterms:modified xsi:type="dcterms:W3CDTF">2012-10-19T17:54:50Z</dcterms:modified>
</cp:coreProperties>
</file>