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0" i="1" l="1"/>
  <c r="H201" i="1" l="1"/>
  <c r="F9" i="1"/>
  <c r="B37" i="12"/>
  <c r="B38" i="12"/>
  <c r="B20" i="12"/>
  <c r="B19" i="12"/>
  <c r="B12" i="12"/>
  <c r="B10" i="12"/>
  <c r="B11" i="12"/>
  <c r="D9" i="13"/>
  <c r="I278" i="1"/>
  <c r="I207" i="1"/>
  <c r="J467" i="1"/>
  <c r="G610" i="1"/>
  <c r="F610" i="1"/>
  <c r="H603" i="1"/>
  <c r="G520" i="1"/>
  <c r="H527" i="1"/>
  <c r="I525" i="1"/>
  <c r="G525" i="1"/>
  <c r="F525" i="1"/>
  <c r="J525" i="1"/>
  <c r="H525" i="1"/>
  <c r="H520" i="1"/>
  <c r="F520" i="1"/>
  <c r="H532" i="1"/>
  <c r="H530" i="1"/>
  <c r="G501" i="1"/>
  <c r="F501" i="1"/>
  <c r="F367" i="1"/>
  <c r="I367" i="1" s="1"/>
  <c r="H243" i="1"/>
  <c r="G243" i="1"/>
  <c r="F243" i="1"/>
  <c r="I243" i="1"/>
  <c r="H239" i="1"/>
  <c r="G239" i="1"/>
  <c r="H237" i="1"/>
  <c r="H233" i="1"/>
  <c r="H232" i="1"/>
  <c r="I357" i="1"/>
  <c r="H357" i="1"/>
  <c r="G357" i="1"/>
  <c r="F357" i="1"/>
  <c r="I280" i="1"/>
  <c r="G280" i="1"/>
  <c r="F280" i="1"/>
  <c r="I275" i="1"/>
  <c r="H280" i="1"/>
  <c r="H281" i="1"/>
  <c r="K284" i="1"/>
  <c r="G278" i="1"/>
  <c r="F278" i="1"/>
  <c r="G286" i="1"/>
  <c r="F286" i="1"/>
  <c r="G281" i="1"/>
  <c r="I281" i="1"/>
  <c r="F281" i="1"/>
  <c r="G282" i="1"/>
  <c r="F282" i="1"/>
  <c r="G276" i="1"/>
  <c r="F276" i="1"/>
  <c r="K202" i="1"/>
  <c r="F201" i="1"/>
  <c r="G196" i="1"/>
  <c r="H207" i="1"/>
  <c r="G207" i="1"/>
  <c r="F207" i="1"/>
  <c r="I206" i="1"/>
  <c r="H206" i="1"/>
  <c r="G206" i="1"/>
  <c r="I204" i="1"/>
  <c r="H204" i="1"/>
  <c r="G204" i="1"/>
  <c r="F204" i="1"/>
  <c r="H203" i="1"/>
  <c r="G203" i="1"/>
  <c r="I202" i="1"/>
  <c r="G202" i="1"/>
  <c r="H202" i="1"/>
  <c r="I201" i="1"/>
  <c r="G201" i="1"/>
  <c r="H197" i="1"/>
  <c r="G197" i="1"/>
  <c r="F197" i="1"/>
  <c r="J196" i="1"/>
  <c r="I196" i="1"/>
  <c r="H196" i="1"/>
  <c r="F196" i="1"/>
  <c r="H109" i="1"/>
  <c r="H153" i="1"/>
  <c r="H160" i="1"/>
  <c r="H154" i="1"/>
  <c r="H458" i="1"/>
  <c r="G458" i="1"/>
  <c r="G438" i="1"/>
  <c r="G24" i="1"/>
  <c r="F29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E130" i="2" s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E57" i="2" s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E84" i="2" s="1"/>
  <c r="H161" i="1"/>
  <c r="I146" i="1"/>
  <c r="I161" i="1"/>
  <c r="C12" i="10"/>
  <c r="C17" i="10"/>
  <c r="C19" i="10"/>
  <c r="C21" i="10"/>
  <c r="L249" i="1"/>
  <c r="L331" i="1"/>
  <c r="E112" i="2" s="1"/>
  <c r="L253" i="1"/>
  <c r="C24" i="10"/>
  <c r="C25" i="10"/>
  <c r="L267" i="1"/>
  <c r="L268" i="1"/>
  <c r="L348" i="1"/>
  <c r="E141" i="2" s="1"/>
  <c r="L349" i="1"/>
  <c r="I664" i="1"/>
  <c r="I669" i="1"/>
  <c r="L246" i="1"/>
  <c r="G660" i="1"/>
  <c r="F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C110" i="2"/>
  <c r="E110" i="2"/>
  <c r="C111" i="2"/>
  <c r="C112" i="2"/>
  <c r="C113" i="2"/>
  <c r="D114" i="2"/>
  <c r="F114" i="2"/>
  <c r="G114" i="2"/>
  <c r="E117" i="2"/>
  <c r="C118" i="2"/>
  <c r="C119" i="2"/>
  <c r="E119" i="2"/>
  <c r="C120" i="2"/>
  <c r="C121" i="2"/>
  <c r="E121" i="2"/>
  <c r="C122" i="2"/>
  <c r="C123" i="2"/>
  <c r="E123" i="2"/>
  <c r="C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J640" i="1" s="1"/>
  <c r="H640" i="1"/>
  <c r="G641" i="1"/>
  <c r="H641" i="1"/>
  <c r="G642" i="1"/>
  <c r="H642" i="1"/>
  <c r="G643" i="1"/>
  <c r="H643" i="1"/>
  <c r="G644" i="1"/>
  <c r="H644" i="1"/>
  <c r="G648" i="1"/>
  <c r="H649" i="1"/>
  <c r="G650" i="1"/>
  <c r="G651" i="1"/>
  <c r="H651" i="1"/>
  <c r="G652" i="1"/>
  <c r="H652" i="1"/>
  <c r="J652" i="1" s="1"/>
  <c r="G653" i="1"/>
  <c r="H653" i="1"/>
  <c r="J653" i="1" s="1"/>
  <c r="H654" i="1"/>
  <c r="F191" i="1"/>
  <c r="K256" i="1"/>
  <c r="K270" i="1" s="1"/>
  <c r="I256" i="1"/>
  <c r="I270" i="1" s="1"/>
  <c r="G256" i="1"/>
  <c r="G270" i="1" s="1"/>
  <c r="C26" i="10"/>
  <c r="L350" i="1"/>
  <c r="A40" i="12"/>
  <c r="D18" i="13"/>
  <c r="C18" i="13" s="1"/>
  <c r="D18" i="2"/>
  <c r="E8" i="13"/>
  <c r="C8" i="13" s="1"/>
  <c r="F61" i="2"/>
  <c r="F62" i="2" s="1"/>
  <c r="C77" i="2"/>
  <c r="G156" i="2"/>
  <c r="G162" i="2"/>
  <c r="G102" i="2"/>
  <c r="F90" i="2"/>
  <c r="D29" i="13"/>
  <c r="C29" i="13" s="1"/>
  <c r="E77" i="2"/>
  <c r="L426" i="1"/>
  <c r="J256" i="1"/>
  <c r="J270" i="1" s="1"/>
  <c r="H111" i="1"/>
  <c r="K604" i="1"/>
  <c r="G647" i="1" s="1"/>
  <c r="J570" i="1"/>
  <c r="L432" i="1"/>
  <c r="H168" i="1"/>
  <c r="J642" i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H256" i="1"/>
  <c r="H270" i="1" s="1"/>
  <c r="K597" i="1"/>
  <c r="G646" i="1" s="1"/>
  <c r="C29" i="10"/>
  <c r="H139" i="1"/>
  <c r="L400" i="1"/>
  <c r="C138" i="2" s="1"/>
  <c r="L392" i="1"/>
  <c r="C137" i="2" s="1"/>
  <c r="F22" i="13"/>
  <c r="C22" i="13" s="1"/>
  <c r="H570" i="1"/>
  <c r="J544" i="1"/>
  <c r="H337" i="1"/>
  <c r="H351" i="1" s="1"/>
  <c r="F337" i="1"/>
  <c r="F351" i="1" s="1"/>
  <c r="G191" i="1"/>
  <c r="H191" i="1"/>
  <c r="C35" i="10"/>
  <c r="J654" i="1"/>
  <c r="I570" i="1"/>
  <c r="L564" i="1"/>
  <c r="G544" i="1"/>
  <c r="H544" i="1"/>
  <c r="F570" i="1" l="1"/>
  <c r="L569" i="1"/>
  <c r="K570" i="1"/>
  <c r="E102" i="2"/>
  <c r="D80" i="2"/>
  <c r="L269" i="1"/>
  <c r="I168" i="1"/>
  <c r="I662" i="1"/>
  <c r="C27" i="10"/>
  <c r="G634" i="1"/>
  <c r="J638" i="1"/>
  <c r="J634" i="1"/>
  <c r="G570" i="1"/>
  <c r="L559" i="1"/>
  <c r="K544" i="1"/>
  <c r="H433" i="1"/>
  <c r="L336" i="1"/>
  <c r="L255" i="1"/>
  <c r="I191" i="1"/>
  <c r="C102" i="2"/>
  <c r="F49" i="2"/>
  <c r="D49" i="2"/>
  <c r="L381" i="1"/>
  <c r="G635" i="1" s="1"/>
  <c r="J635" i="1" s="1"/>
  <c r="A31" i="12"/>
  <c r="G31" i="13"/>
  <c r="G661" i="1"/>
  <c r="C20" i="10"/>
  <c r="L276" i="1"/>
  <c r="G433" i="1"/>
  <c r="L418" i="1"/>
  <c r="I337" i="1"/>
  <c r="I351" i="1" s="1"/>
  <c r="J619" i="1"/>
  <c r="I661" i="1"/>
  <c r="G168" i="1"/>
  <c r="E113" i="2"/>
  <c r="L327" i="1"/>
  <c r="L308" i="1"/>
  <c r="E124" i="2"/>
  <c r="E122" i="2"/>
  <c r="E120" i="2"/>
  <c r="E118" i="2"/>
  <c r="E111" i="2"/>
  <c r="F31" i="13"/>
  <c r="D17" i="13"/>
  <c r="C17" i="13" s="1"/>
  <c r="J192" i="1"/>
  <c r="J644" i="1"/>
  <c r="J643" i="1"/>
  <c r="I544" i="1"/>
  <c r="F544" i="1"/>
  <c r="L528" i="1"/>
  <c r="F475" i="1"/>
  <c r="H621" i="1" s="1"/>
  <c r="G161" i="2"/>
  <c r="G157" i="2"/>
  <c r="J475" i="1"/>
  <c r="H625" i="1" s="1"/>
  <c r="H475" i="1"/>
  <c r="H623" i="1" s="1"/>
  <c r="I368" i="1"/>
  <c r="H633" i="1" s="1"/>
  <c r="J633" i="1" s="1"/>
  <c r="F660" i="1"/>
  <c r="J337" i="1"/>
  <c r="K337" i="1"/>
  <c r="K351" i="1" s="1"/>
  <c r="C16" i="10"/>
  <c r="C13" i="10"/>
  <c r="E109" i="2"/>
  <c r="L289" i="1"/>
  <c r="L337" i="1" s="1"/>
  <c r="L351" i="1" s="1"/>
  <c r="G632" i="1" s="1"/>
  <c r="J632" i="1" s="1"/>
  <c r="C11" i="10"/>
  <c r="H659" i="1"/>
  <c r="L228" i="1"/>
  <c r="D14" i="13"/>
  <c r="C14" i="13" s="1"/>
  <c r="C18" i="10"/>
  <c r="D7" i="13"/>
  <c r="C7" i="13" s="1"/>
  <c r="F33" i="13"/>
  <c r="L201" i="1"/>
  <c r="C117" i="2" s="1"/>
  <c r="C127" i="2" s="1"/>
  <c r="L196" i="1"/>
  <c r="C10" i="10" s="1"/>
  <c r="C108" i="2"/>
  <c r="C114" i="2" s="1"/>
  <c r="A13" i="12"/>
  <c r="H192" i="1"/>
  <c r="G628" i="1" s="1"/>
  <c r="J628" i="1" s="1"/>
  <c r="J651" i="1"/>
  <c r="C90" i="2"/>
  <c r="C69" i="2"/>
  <c r="F111" i="1"/>
  <c r="F192" i="1" s="1"/>
  <c r="G626" i="1" s="1"/>
  <c r="J626" i="1" s="1"/>
  <c r="J641" i="1"/>
  <c r="J639" i="1"/>
  <c r="L433" i="1"/>
  <c r="G637" i="1" s="1"/>
  <c r="J637" i="1" s="1"/>
  <c r="J617" i="1"/>
  <c r="D31" i="2"/>
  <c r="D50" i="2" s="1"/>
  <c r="C31" i="2"/>
  <c r="C18" i="2"/>
  <c r="G159" i="2"/>
  <c r="G158" i="2"/>
  <c r="G155" i="2"/>
  <c r="F102" i="2"/>
  <c r="D102" i="2"/>
  <c r="D90" i="2"/>
  <c r="F77" i="2"/>
  <c r="C80" i="2"/>
  <c r="D61" i="2"/>
  <c r="D62" i="2" s="1"/>
  <c r="F31" i="2"/>
  <c r="F50" i="2" s="1"/>
  <c r="F18" i="2"/>
  <c r="C140" i="2"/>
  <c r="C143" i="2" s="1"/>
  <c r="D144" i="2"/>
  <c r="C61" i="2"/>
  <c r="C62" i="2" s="1"/>
  <c r="E49" i="2"/>
  <c r="C49" i="2"/>
  <c r="E31" i="2"/>
  <c r="E18" i="2"/>
  <c r="E90" i="2"/>
  <c r="E61" i="2"/>
  <c r="E62" i="2" s="1"/>
  <c r="G61" i="2"/>
  <c r="G62" i="2" s="1"/>
  <c r="G103" i="2" s="1"/>
  <c r="E143" i="2"/>
  <c r="D19" i="13"/>
  <c r="C19" i="13" s="1"/>
  <c r="D6" i="13"/>
  <c r="C6" i="13" s="1"/>
  <c r="E16" i="13"/>
  <c r="C16" i="13" s="1"/>
  <c r="E13" i="13"/>
  <c r="C13" i="13" s="1"/>
  <c r="J616" i="1"/>
  <c r="G36" i="2"/>
  <c r="G49" i="2" s="1"/>
  <c r="J50" i="1"/>
  <c r="K548" i="1"/>
  <c r="F551" i="1"/>
  <c r="G630" i="1"/>
  <c r="J630" i="1" s="1"/>
  <c r="G645" i="1"/>
  <c r="J650" i="1"/>
  <c r="J648" i="1"/>
  <c r="L570" i="1"/>
  <c r="J618" i="1"/>
  <c r="G160" i="2"/>
  <c r="J551" i="1"/>
  <c r="H551" i="1"/>
  <c r="K550" i="1"/>
  <c r="C39" i="10"/>
  <c r="J32" i="1"/>
  <c r="G22" i="2"/>
  <c r="G31" i="2" s="1"/>
  <c r="J19" i="1"/>
  <c r="G620" i="1" s="1"/>
  <c r="G8" i="2"/>
  <c r="G18" i="2" s="1"/>
  <c r="H647" i="1"/>
  <c r="J647" i="1" s="1"/>
  <c r="J351" i="1"/>
  <c r="G659" i="1"/>
  <c r="G663" i="1" s="1"/>
  <c r="G163" i="2"/>
  <c r="I551" i="1"/>
  <c r="G551" i="1"/>
  <c r="K549" i="1"/>
  <c r="C38" i="10"/>
  <c r="I192" i="1"/>
  <c r="G629" i="1" s="1"/>
  <c r="J629" i="1" s="1"/>
  <c r="G192" i="1"/>
  <c r="G627" i="1" s="1"/>
  <c r="J627" i="1" s="1"/>
  <c r="E127" i="2"/>
  <c r="E114" i="2"/>
  <c r="F80" i="2"/>
  <c r="G33" i="13"/>
  <c r="L407" i="1"/>
  <c r="H25" i="13"/>
  <c r="D15" i="13"/>
  <c r="C15" i="13" s="1"/>
  <c r="D12" i="13"/>
  <c r="C12" i="13" s="1"/>
  <c r="G649" i="1"/>
  <c r="J649" i="1" s="1"/>
  <c r="H646" i="1"/>
  <c r="J646" i="1" s="1"/>
  <c r="G623" i="1"/>
  <c r="J623" i="1" s="1"/>
  <c r="G621" i="1"/>
  <c r="J621" i="1" s="1"/>
  <c r="L543" i="1"/>
  <c r="L533" i="1"/>
  <c r="L523" i="1"/>
  <c r="K502" i="1"/>
  <c r="E80" i="2"/>
  <c r="H660" i="1"/>
  <c r="A22" i="12"/>
  <c r="C36" i="10"/>
  <c r="F143" i="2"/>
  <c r="F144" i="2" s="1"/>
  <c r="C50" i="2" l="1"/>
  <c r="L544" i="1"/>
  <c r="D103" i="2"/>
  <c r="D5" i="13"/>
  <c r="C5" i="13" s="1"/>
  <c r="C15" i="10"/>
  <c r="C28" i="10" s="1"/>
  <c r="D26" i="10" s="1"/>
  <c r="D31" i="13"/>
  <c r="C31" i="13" s="1"/>
  <c r="H663" i="1"/>
  <c r="H666" i="1" s="1"/>
  <c r="L210" i="1"/>
  <c r="D33" i="13"/>
  <c r="D36" i="13" s="1"/>
  <c r="E103" i="2"/>
  <c r="I660" i="1"/>
  <c r="C41" i="10"/>
  <c r="D35" i="10" s="1"/>
  <c r="E50" i="2"/>
  <c r="C144" i="2"/>
  <c r="E33" i="13"/>
  <c r="D35" i="13" s="1"/>
  <c r="F103" i="2"/>
  <c r="C103" i="2"/>
  <c r="G666" i="1"/>
  <c r="G671" i="1"/>
  <c r="E144" i="2"/>
  <c r="K551" i="1"/>
  <c r="G50" i="2"/>
  <c r="H33" i="13"/>
  <c r="C25" i="13"/>
  <c r="G636" i="1"/>
  <c r="J636" i="1" s="1"/>
  <c r="H645" i="1"/>
  <c r="J645" i="1" s="1"/>
  <c r="H671" i="1"/>
  <c r="C6" i="10" s="1"/>
  <c r="G625" i="1"/>
  <c r="J625" i="1" s="1"/>
  <c r="J51" i="1"/>
  <c r="H620" i="1" s="1"/>
  <c r="J620" i="1" s="1"/>
  <c r="D37" i="10"/>
  <c r="D24" i="10" l="1"/>
  <c r="D17" i="10"/>
  <c r="D20" i="10"/>
  <c r="D21" i="10"/>
  <c r="D18" i="10"/>
  <c r="D25" i="10"/>
  <c r="D10" i="10"/>
  <c r="D16" i="10"/>
  <c r="D12" i="10"/>
  <c r="D15" i="10"/>
  <c r="D19" i="10"/>
  <c r="D13" i="10"/>
  <c r="D22" i="10"/>
  <c r="D27" i="10"/>
  <c r="D11" i="10"/>
  <c r="C30" i="10"/>
  <c r="D23" i="10"/>
  <c r="F659" i="1"/>
  <c r="L256" i="1"/>
  <c r="L270" i="1" s="1"/>
  <c r="G631" i="1" s="1"/>
  <c r="J631" i="1" s="1"/>
  <c r="D39" i="10"/>
  <c r="D40" i="10"/>
  <c r="D36" i="10"/>
  <c r="D38" i="10"/>
  <c r="H655" i="1" l="1"/>
  <c r="D28" i="10"/>
  <c r="I659" i="1"/>
  <c r="I663" i="1" s="1"/>
  <c r="F663" i="1"/>
  <c r="D41" i="10"/>
  <c r="F671" i="1" l="1"/>
  <c r="C4" i="10" s="1"/>
  <c r="F666" i="1"/>
  <c r="I666" i="1"/>
  <c r="I671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<sst xmlns="http://schemas.openxmlformats.org/spreadsheetml/2006/main" count="3954" uniqueCount="913">
  <si>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</si>
  <si>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</si>
  <si>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</si>
  <si>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</si>
  <si>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</si>
  <si>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</si>
  <si>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</si>
  <si>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</si>
  <si>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</si>
  <si>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</si>
  <si>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</si>
  <si>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</si>
  <si>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</si>
  <si>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</si>
  <si>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</si>
  <si>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</si>
  <si>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</si>
  <si>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</si>
  <si>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</si>
  <si>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</si>
  <si>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</si>
  <si>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</si>
  <si>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</si>
  <si>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</si>
  <si>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</si>
  <si>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</si>
  <si>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</si>
  <si>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</si>
  <si>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</si>
  <si>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</si>
  <si>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</si>
  <si>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</si>
  <si>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</si>
  <si>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</si>
  <si>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</si>
  <si>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</si>
  <si>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</si>
  <si>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</si>
  <si>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</si>
  <si>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</si>
  <si>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</si>
  <si>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</si>
  <si>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</si>
  <si>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</si>
  <si>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</si>
  <si>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</si>
  <si>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</si>
  <si>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</si>
  <si>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</si>
  <si>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</si>
  <si>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</si>
  <si>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</si>
  <si>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</si>
  <si>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</si>
  <si>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</si>
  <si>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</si>
  <si>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</si>
  <si>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</si>
  <si>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</si>
  <si>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</si>
  <si>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</si>
  <si>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</si>
  <si>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</si>
  <si>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</si>
  <si>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</si>
  <si>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</si>
  <si>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</si>
  <si>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</si>
  <si>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</si>
  <si>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</si>
  <si>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</si>
  <si>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</si>
  <si>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</si>
  <si>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</si>
  <si>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</si>
  <si>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</si>
  <si>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</si>
  <si>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</si>
  <si>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</si>
  <si>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</si>
  <si>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</si>
  <si>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</si>
  <si>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</si>
  <si>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</si>
  <si>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</si>
  <si>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</si>
  <si>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</si>
  <si>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</si>
  <si>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</si>
  <si>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</si>
  <si>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</si>
  <si>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</si>
  <si>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</si>
  <si>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</si>
  <si>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</si>
  <si>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</si>
  <si>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</si>
  <si>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</si>
  <si>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</si>
  <si>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</si>
  <si>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</si>
  <si>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</si>
  <si>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</si>
  <si>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</si>
  <si>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</si>
  <si>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</si>
  <si>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</si>
  <si>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</si>
  <si>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</si>
  <si>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</si>
  <si>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</si>
  <si>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</si>
  <si>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</si>
  <si>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</si>
  <si>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</si>
  <si>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</si>
  <si>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</si>
  <si>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</si>
  <si>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</si>
  <si>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</si>
  <si>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</si>
  <si>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</si>
  <si>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</si>
  <si>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</si>
  <si>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</si>
  <si>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</si>
  <si>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</si>
  <si>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</si>
  <si>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</si>
  <si>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</si>
  <si>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</si>
  <si>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</si>
  <si>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</si>
  <si>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</si>
  <si>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</si>
  <si>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</si>
  <si>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</si>
  <si>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</si>
  <si>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</si>
  <si>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</si>
  <si>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</si>
  <si>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</si>
  <si>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</si>
  <si>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</si>
  <si>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</si>
  <si>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</si>
  <si>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</si>
  <si>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</si>
  <si>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</si>
  <si>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</si>
  <si>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</si>
  <si>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</si>
  <si>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</si>
  <si>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</si>
  <si>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</si>
  <si>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</si>
  <si>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</si>
  <si>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</si>
  <si>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</si>
  <si>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</si>
  <si>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</si>
  <si>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</si>
  <si>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</si>
  <si>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</si>
  <si>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</si>
  <si>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</si>
  <si>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</si>
  <si>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</si>
  <si>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</si>
  <si>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</si>
  <si>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</si>
  <si>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</si>
  <si>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</si>
  <si>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</si>
  <si>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</si>
  <si>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</si>
  <si>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</si>
  <si>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</si>
  <si>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</si>
  <si>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</si>
  <si>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</si>
  <si>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</si>
  <si>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</si>
  <si>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</si>
  <si>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</si>
  <si>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</si>
  <si>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</si>
  <si>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</si>
  <si>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</si>
  <si>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</si>
  <si>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</si>
  <si>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</si>
  <si>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</si>
  <si>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</si>
  <si>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</si>
  <si>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</si>
  <si>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</si>
  <si>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</si>
  <si>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</si>
  <si>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</si>
  <si>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</si>
  <si>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</si>
  <si>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</si>
  <si>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</si>
  <si>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</si>
  <si>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</si>
  <si>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</si>
  <si>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</si>
  <si>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</si>
  <si>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</si>
  <si>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</si>
  <si>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</si>
  <si>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</si>
  <si>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</si>
  <si>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</si>
  <si>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</si>
  <si>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</si>
  <si>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</si>
  <si>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</si>
  <si>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</si>
  <si>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</si>
  <si>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</si>
  <si>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</si>
  <si>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</si>
  <si>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</si>
  <si>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</si>
  <si>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</si>
  <si>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</si>
  <si>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</si>
  <si>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</si>
  <si>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</si>
  <si>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</si>
  <si>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</si>
  <si>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</si>
  <si>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</si>
  <si>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</si>
  <si>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</si>
  <si>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</si>
  <si>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</si>
  <si>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</si>
  <si>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</si>
  <si>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</si>
  <si>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</si>
  <si>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</si>
  <si>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</si>
  <si>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</si>
  <si>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</si>
  <si>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</si>
  <si>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</si>
  <si>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</si>
  <si>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</si>
  <si>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</si>
  <si>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</si>
  <si>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</si>
  <si>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</si>
  <si>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</si>
  <si>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</si>
  <si>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</si>
  <si>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</si>
  <si>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</si>
  <si>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</si>
  <si>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</si>
  <si>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</si>
  <si>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</si>
  <si>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</si>
  <si>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</si>
  <si>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</si>
  <si>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</si>
  <si>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</si>
  <si>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</si>
  <si>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</si>
  <si>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</si>
  <si>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</si>
  <si>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</si>
  <si>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</si>
  <si>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</si>
  <si>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</si>
  <si>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</si>
  <si>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</si>
  <si>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</si>
  <si>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</si>
  <si>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</si>
  <si>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</si>
  <si>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</si>
  <si>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</si>
  <si>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</si>
  <si>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</si>
  <si>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</si>
  <si>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</si>
  <si>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</si>
  <si>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</si>
  <si>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</si>
  <si>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</si>
  <si>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</si>
  <si>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</si>
  <si>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</si>
  <si>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</si>
  <si>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</si>
  <si>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</si>
  <si>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</si>
  <si>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</si>
  <si>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</si>
  <si>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</si>
  <si>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</si>
  <si>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</si>
  <si>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</si>
  <si>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</si>
  <si>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</si>
  <si>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</si>
  <si>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</si>
  <si>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</si>
  <si>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</si>
  <si>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</si>
  <si>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</si>
  <si>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</si>
  <si>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</si>
  <si>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</si>
  <si>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</si>
  <si>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</si>
  <si>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</si>
  <si>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</si>
  <si>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</si>
  <si>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</si>
  <si>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</si>
  <si>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</si>
  <si>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</si>
  <si>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</si>
  <si>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</si>
  <si>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</si>
  <si>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</si>
  <si>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</si>
  <si>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</si>
  <si>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</si>
  <si>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</si>
  <si>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</si>
  <si>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</si>
  <si>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</si>
  <si>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</si>
  <si>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</si>
  <si>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</si>
  <si>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</si>
  <si>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</si>
  <si>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</si>
  <si>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</si>
  <si>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</si>
  <si>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</si>
  <si>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</si>
  <si>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</si>
  <si>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</si>
  <si>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</si>
  <si>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</si>
  <si>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</si>
  <si>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</si>
  <si>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</si>
  <si>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</si>
  <si>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</si>
  <si>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</si>
  <si>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</si>
  <si>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</si>
  <si>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</si>
  <si>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</si>
  <si>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</si>
  <si>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</si>
  <si>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</si>
  <si>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</si>
  <si>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</si>
  <si>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</si>
  <si>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</si>
  <si>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</si>
  <si>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</si>
  <si>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</si>
  <si>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</si>
  <si>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</si>
  <si>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</si>
  <si>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</si>
  <si>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</si>
  <si>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</si>
  <si>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</si>
  <si>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</si>
  <si>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</si>
  <si>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</si>
  <si>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</si>
  <si>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</si>
  <si>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</si>
  <si>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</si>
  <si>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</si>
  <si>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</si>
  <si>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</si>
  <si>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</si>
  <si>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</si>
  <si>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</si>
  <si>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</si>
  <si>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</si>
  <si>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</si>
  <si>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</si>
  <si>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</si>
  <si>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</si>
  <si>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</si>
  <si>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</si>
  <si>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</si>
  <si>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</si>
  <si>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</si>
  <si>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</si>
  <si>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</si>
  <si>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</si>
  <si>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</si>
  <si>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</si>
  <si>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</si>
  <si>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</si>
  <si>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</si>
  <si>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</si>
  <si>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</si>
  <si>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</si>
  <si>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</si>
  <si>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</si>
  <si>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</si>
  <si>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</si>
  <si>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</si>
  <si>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</si>
  <si>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</si>
  <si>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</si>
  <si>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</si>
  <si>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</si>
  <si>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</si>
  <si>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</si>
  <si>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</si>
  <si>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</si>
  <si>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</si>
  <si>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</si>
  <si>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</si>
  <si>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</si>
  <si>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</si>
  <si>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</si>
  <si>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</si>
  <si>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</si>
  <si>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</si>
  <si>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</si>
  <si>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</si>
  <si>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</si>
  <si>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</si>
  <si>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</si>
  <si>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</si>
  <si>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</si>
  <si>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</si>
  <si>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</si>
  <si>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</si>
  <si>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</si>
  <si>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</si>
  <si>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</si>
  <si>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</si>
  <si>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</si>
  <si>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</si>
  <si>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</si>
  <si>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</si>
  <si>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</si>
  <si>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</si>
  <si>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</si>
  <si>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</si>
  <si>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</si>
  <si>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</si>
  <si>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</si>
  <si>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</si>
  <si>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</si>
  <si>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</si>
  <si>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</si>
  <si>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</si>
  <si>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</si>
  <si>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</si>
  <si>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</si>
  <si>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</si>
  <si>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</si>
  <si>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</si>
  <si>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</si>
  <si>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</si>
  <si>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</si>
  <si>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</si>
  <si>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</si>
  <si>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</si>
  <si>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</si>
  <si>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</si>
  <si>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</si>
  <si>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</si>
  <si>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</si>
  <si>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</si>
  <si>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</si>
  <si>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</si>
  <si>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</si>
  <si>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</si>
  <si>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</si>
  <si>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</si>
  <si>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</si>
  <si>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</si>
  <si>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</si>
  <si>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</si>
  <si>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</si>
  <si>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</si>
  <si>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</si>
  <si>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</si>
  <si>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</si>
  <si>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</si>
  <si>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</si>
  <si>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</si>
  <si>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</si>
  <si>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</si>
  <si>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</si>
  <si>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</si>
  <si>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</si>
  <si>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</si>
  <si>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</si>
  <si>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</si>
  <si>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</si>
  <si>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</si>
  <si>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</si>
  <si>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</si>
  <si>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</si>
  <si>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</si>
  <si>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</si>
  <si>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</si>
  <si>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</si>
  <si>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</si>
  <si>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</si>
  <si>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</si>
  <si>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</si>
  <si>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</si>
  <si>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</si>
  <si>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</si>
  <si>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</si>
  <si>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</si>
  <si>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</si>
  <si>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</si>
  <si>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</si>
  <si>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</si>
  <si>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</si>
  <si>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</si>
  <si>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</si>
  <si>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</si>
  <si>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</si>
  <si>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</si>
  <si>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</si>
  <si>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</si>
  <si>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</si>
  <si>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</si>
  <si>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</si>
  <si>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</si>
  <si>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</si>
  <si>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</si>
  <si>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</si>
  <si>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</si>
  <si>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</si>
  <si>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</si>
  <si>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</si>
  <si>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</si>
  <si>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</si>
  <si>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</si>
  <si>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</si>
  <si>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</si>
  <si>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</si>
  <si>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</si>
  <si>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</si>
  <si>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</si>
  <si>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</si>
  <si>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</si>
  <si>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</si>
  <si>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</si>
  <si>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</si>
  <si>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</si>
  <si>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</si>
  <si>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</si>
  <si>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</si>
  <si>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</si>
  <si>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</si>
  <si>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</si>
  <si>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</si>
  <si>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</si>
  <si>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</si>
  <si>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</si>
  <si>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</si>
  <si>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</si>
  <si>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</si>
  <si>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</si>
  <si>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</si>
  <si>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</si>
  <si>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</si>
  <si>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</si>
  <si>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</si>
  <si>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</si>
  <si>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</si>
  <si>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</si>
  <si>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</si>
  <si>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</si>
  <si>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</si>
  <si>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</si>
  <si>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</si>
  <si>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</si>
  <si>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</si>
  <si>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</si>
  <si>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</si>
  <si>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</si>
  <si>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</si>
  <si>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</si>
  <si>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</si>
  <si>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</si>
  <si>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</si>
  <si>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</si>
  <si>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</si>
  <si>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</si>
  <si>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</si>
  <si>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</si>
  <si>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</si>
  <si>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</si>
  <si>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</si>
  <si>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</si>
  <si>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</si>
  <si>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</si>
  <si>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</si>
  <si>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</si>
  <si>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</si>
  <si>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</si>
  <si>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</si>
  <si>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</si>
  <si>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</si>
  <si>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</si>
  <si>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</si>
  <si>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</si>
  <si>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</si>
  <si>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</si>
  <si>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</si>
  <si>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</si>
  <si>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</si>
  <si>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</si>
  <si>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</si>
  <si>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</si>
  <si>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</si>
  <si>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</si>
  <si>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</si>
  <si>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</si>
  <si>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</si>
  <si>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</si>
  <si>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</si>
  <si>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</si>
  <si>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</si>
  <si>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</si>
  <si>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</si>
  <si>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</si>
  <si>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</si>
  <si>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</si>
  <si>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</si>
  <si>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</si>
  <si>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</si>
  <si>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</si>
  <si>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</si>
  <si>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</si>
  <si>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</si>
  <si>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</si>
  <si>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</si>
  <si>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</si>
  <si>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</si>
  <si>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</si>
  <si>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</si>
  <si>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</si>
  <si>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</si>
  <si>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</si>
  <si>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</si>
  <si>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</si>
  <si>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</si>
  <si>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</si>
  <si>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</si>
  <si>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</si>
  <si>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</si>
  <si>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</si>
  <si>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</si>
  <si>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</si>
  <si>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</si>
  <si>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</si>
  <si>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</si>
  <si>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</si>
  <si>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</si>
  <si>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</si>
  <si>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</si>
  <si>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</si>
  <si>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</si>
  <si>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</si>
  <si>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</si>
  <si>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</si>
  <si>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</si>
  <si>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</si>
  <si>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</si>
  <si>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</si>
  <si>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</si>
  <si>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</si>
  <si>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</si>
  <si>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</si>
  <si>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</si>
  <si>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</si>
  <si>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</si>
  <si>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</si>
  <si>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</si>
  <si>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</si>
  <si>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</si>
  <si>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</si>
  <si>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</si>
  <si>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</si>
  <si>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</si>
  <si>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</si>
  <si>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</si>
  <si>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</si>
  <si>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</si>
  <si>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</si>
  <si>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</si>
  <si>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</si>
  <si>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</si>
  <si>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</si>
  <si>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</si>
  <si>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</si>
  <si>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</si>
  <si>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</si>
  <si>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</si>
  <si>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</si>
  <si>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</si>
  <si>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</si>
  <si>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</si>
  <si>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</si>
  <si>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</si>
  <si>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</si>
  <si>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</si>
  <si>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</si>
  <si>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</si>
  <si>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</si>
  <si>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</si>
  <si>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</si>
  <si>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</si>
  <si>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</si>
  <si>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</si>
  <si>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</si>
  <si>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</si>
  <si>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</si>
  <si>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</si>
  <si>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</si>
  <si>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</si>
  <si>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</si>
  <si>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</si>
  <si>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</si>
  <si>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</si>
  <si>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</si>
  <si>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</si>
  <si>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</si>
  <si>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</si>
  <si>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</si>
  <si>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</si>
  <si>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</si>
  <si>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</si>
  <si>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</si>
  <si>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</si>
  <si>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</si>
  <si>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</si>
  <si>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</si>
  <si>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</si>
  <si>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</si>
  <si>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</si>
  <si>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</si>
  <si>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</si>
  <si>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</si>
  <si>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</si>
  <si>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</si>
  <si>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</si>
  <si>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</si>
  <si>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</si>
  <si>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</si>
  <si>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</si>
  <si>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</si>
  <si>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</si>
  <si>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</si>
  <si>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</si>
  <si>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</si>
  <si>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</si>
  <si>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</si>
  <si>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</si>
  <si>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</si>
  <si>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</si>
  <si>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</si>
  <si>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</si>
  <si>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</si>
  <si>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</si>
  <si>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</si>
  <si>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</si>
  <si>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</si>
  <si>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</si>
  <si>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</si>
  <si>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</si>
  <si>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</si>
  <si>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</si>
  <si>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</si>
  <si>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</si>
  <si>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</si>
  <si>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</si>
  <si>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</si>
  <si>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</si>
  <si>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</si>
  <si>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</si>
  <si>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</si>
  <si>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</si>
  <si>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</si>
  <si>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</si>
  <si>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</si>
  <si>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</si>
  <si>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</si>
  <si>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</si>
  <si>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</si>
  <si>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</si>
  <si>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</si>
  <si>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</si>
  <si>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</si>
  <si>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</si>
  <si>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</si>
  <si>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</si>
  <si>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</si>
  <si>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</si>
  <si>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</si>
  <si>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</si>
  <si>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</si>
  <si>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</si>
  <si>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</si>
  <si>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</si>
  <si>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</si>
  <si>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</si>
  <si>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</si>
  <si>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</si>
  <si>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</si>
  <si>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</si>
  <si>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</si>
  <si>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</si>
  <si>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</si>
  <si>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</si>
  <si>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</si>
  <si>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</si>
  <si>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</si>
  <si>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</si>
  <si>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</si>
  <si>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</si>
  <si>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</si>
  <si>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</si>
  <si>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</si>
  <si>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</si>
  <si>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</si>
  <si>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</si>
  <si>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</si>
  <si>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</si>
  <si>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</si>
  <si>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</si>
  <si>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</si>
  <si>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</si>
  <si>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</si>
  <si>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</si>
  <si>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</si>
  <si>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</si>
  <si>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</si>
  <si>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</si>
  <si>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</si>
  <si>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</si>
  <si>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</si>
  <si>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</si>
  <si>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</si>
  <si>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</si>
  <si>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</si>
  <si>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</si>
  <si>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</si>
  <si>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</si>
  <si>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</si>
  <si>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</si>
  <si>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</si>
  <si>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</si>
  <si>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</si>
  <si>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</si>
  <si>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</si>
  <si>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</si>
  <si>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</si>
  <si>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</si>
  <si>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</si>
  <si>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</si>
  <si>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</si>
  <si>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</si>
  <si>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</si>
  <si>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</si>
  <si>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</si>
  <si>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</si>
  <si>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</si>
  <si>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</si>
  <si>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</si>
  <si>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</si>
  <si>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</si>
  <si>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</si>
  <si>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</si>
  <si>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</si>
  <si>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</si>
  <si>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</si>
  <si>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</si>
  <si>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</si>
  <si>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</si>
  <si>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</si>
  <si>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</si>
  <si>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</si>
  <si>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</si>
  <si>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</si>
  <si>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</si>
  <si>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</si>
  <si>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</si>
  <si>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</si>
  <si>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</si>
  <si>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</si>
  <si>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Stewartstown School District</t>
  </si>
  <si>
    <t>8/1997</t>
  </si>
  <si>
    <t>08/2017</t>
  </si>
  <si>
    <t>8.1997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</si>
</sst>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J590" sqref="J59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501</v>
      </c>
      <c r="C2" s="21">
        <v>501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77822.52+2015.24</f>
        <v>79837.760000000009</v>
      </c>
      <c r="G9" s="18">
        <v>3330.82</v>
      </c>
      <c r="H9" s="18"/>
      <c r="I9" s="18"/>
      <c r="J9" s="67">
        <f>SUM(I438)</f>
        <v>214226.93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 t="s">
        <v>287</v>
      </c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51136.71</v>
      </c>
      <c r="G12" s="18"/>
      <c r="H12" s="18">
        <v>2051.5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1384.46</v>
      </c>
      <c r="G13" s="18">
        <v>6023.18</v>
      </c>
      <c r="H13" s="18">
        <v>53188.21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4704.16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132358.93</v>
      </c>
      <c r="G19" s="41">
        <f>SUM(G9:G18)</f>
        <v>14058.16</v>
      </c>
      <c r="H19" s="41">
        <f>SUM(H9:H18)</f>
        <v>55239.71</v>
      </c>
      <c r="I19" s="41">
        <f>SUM(I9:I18)</f>
        <v>0</v>
      </c>
      <c r="J19" s="41">
        <f>SUM(J9:J18)</f>
        <v>214226.93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53188.21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78450.73</v>
      </c>
      <c r="G24" s="18">
        <f>297.61</f>
        <v>297.61</v>
      </c>
      <c r="H24" s="18"/>
      <c r="I24" s="18"/>
      <c r="J24" s="67">
        <f>SUM(I449)</f>
        <v>50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7033.3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522.02+1121.27+961.14+2710.92+30.71</f>
        <v>5346.06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2051.5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90830.09</v>
      </c>
      <c r="G32" s="41">
        <f>SUM(G22:G31)</f>
        <v>297.61</v>
      </c>
      <c r="H32" s="41">
        <f>SUM(H22:H31)</f>
        <v>55239.71</v>
      </c>
      <c r="I32" s="41">
        <f>SUM(I22:I31)</f>
        <v>0</v>
      </c>
      <c r="J32" s="41">
        <f>SUM(J22:J31)</f>
        <v>50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4704.16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9056.39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214176.93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41528.839999999997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41528.839999999997</v>
      </c>
      <c r="G50" s="41">
        <f>SUM(G35:G49)</f>
        <v>13760.55</v>
      </c>
      <c r="H50" s="41">
        <f>SUM(H35:H49)</f>
        <v>0</v>
      </c>
      <c r="I50" s="41">
        <f>SUM(I35:I49)</f>
        <v>0</v>
      </c>
      <c r="J50" s="41">
        <f>SUM(J35:J49)</f>
        <v>214176.93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132358.93</v>
      </c>
      <c r="G51" s="41">
        <f>G50+G32</f>
        <v>14058.16</v>
      </c>
      <c r="H51" s="41">
        <f>H50+H32</f>
        <v>55239.71</v>
      </c>
      <c r="I51" s="41">
        <f>I50+I32</f>
        <v>0</v>
      </c>
      <c r="J51" s="41">
        <f>J50+J32</f>
        <v>214226.93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867166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867166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338.99</v>
      </c>
      <c r="G95" s="18"/>
      <c r="H95" s="18"/>
      <c r="I95" s="18"/>
      <c r="J95" s="18">
        <v>513.52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15702.08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2129.2399999999998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7586.08</v>
      </c>
      <c r="G109" s="18"/>
      <c r="H109" s="18">
        <f>2871.6+2391.95</f>
        <v>5263.5499999999993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10054.31</v>
      </c>
      <c r="G110" s="41">
        <f>SUM(G95:G109)</f>
        <v>15702.08</v>
      </c>
      <c r="H110" s="41">
        <f>SUM(H95:H109)</f>
        <v>5263.5499999999993</v>
      </c>
      <c r="I110" s="41">
        <f>SUM(I95:I109)</f>
        <v>0</v>
      </c>
      <c r="J110" s="41">
        <f>SUM(J95:J109)</f>
        <v>513.52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877220.31</v>
      </c>
      <c r="G111" s="41">
        <f>G59+G110</f>
        <v>15702.08</v>
      </c>
      <c r="H111" s="41">
        <f>H59+H78+H93+H110</f>
        <v>5263.5499999999993</v>
      </c>
      <c r="I111" s="41">
        <f>I59+I110</f>
        <v>0</v>
      </c>
      <c r="J111" s="41">
        <f>J59+J110</f>
        <v>513.52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550121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212761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476.23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763358.23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14086.25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40814.71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1274.79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779.22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55680.18</v>
      </c>
      <c r="G135" s="41">
        <f>SUM(G122:G134)</f>
        <v>1274.79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819038.41</v>
      </c>
      <c r="G139" s="41">
        <f>G120+SUM(G135:G136)</f>
        <v>1274.79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16001.35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16001.35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158978.01+7023.06+215</f>
        <v>166216.07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537.44+29358.68+5809.08+3600+5114</f>
        <v>44419.199999999997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31191.11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2803.24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4216.12+20506.26</f>
        <v>24722.379999999997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2803.24</v>
      </c>
      <c r="G161" s="41">
        <f>SUM(G149:G160)</f>
        <v>31191.11</v>
      </c>
      <c r="H161" s="41">
        <f>SUM(H149:H160)</f>
        <v>235357.65000000002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18804.59</v>
      </c>
      <c r="G168" s="41">
        <f>G146+G161+SUM(G162:G167)</f>
        <v>31191.11</v>
      </c>
      <c r="H168" s="41">
        <f>H146+H161+SUM(H162:H167)</f>
        <v>235357.65000000002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20500</v>
      </c>
      <c r="H178" s="18"/>
      <c r="I178" s="18"/>
      <c r="J178" s="18">
        <v>40000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20500</v>
      </c>
      <c r="H182" s="41">
        <f>SUM(H178:H181)</f>
        <v>0</v>
      </c>
      <c r="I182" s="41">
        <f>SUM(I178:I181)</f>
        <v>0</v>
      </c>
      <c r="J182" s="41">
        <f>SUM(J178:J181)</f>
        <v>40000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20500</v>
      </c>
      <c r="H191" s="41">
        <f>+H182+SUM(H187:H190)</f>
        <v>0</v>
      </c>
      <c r="I191" s="41">
        <f>I176+I182+SUM(I187:I190)</f>
        <v>0</v>
      </c>
      <c r="J191" s="41">
        <f>J182</f>
        <v>40000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1715063.3100000003</v>
      </c>
      <c r="G192" s="47">
        <f>G111+G139+G168+G191</f>
        <v>68667.98</v>
      </c>
      <c r="H192" s="47">
        <f>H111+H139+H168+H191</f>
        <v>240621.2</v>
      </c>
      <c r="I192" s="47">
        <f>I111+I139+I168+I191</f>
        <v>0</v>
      </c>
      <c r="J192" s="47">
        <f>J111+J139+J191</f>
        <v>40513.519999999997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185899.69+15456.34+18604.56+13950.96</f>
        <v>233911.55</v>
      </c>
      <c r="G196" s="18">
        <f>65904.52+18088.33+22473.32+37.62+971.28+11540.5</f>
        <v>119015.57</v>
      </c>
      <c r="H196" s="18">
        <f>21477.76+3000.94+3881.5</f>
        <v>28360.199999999997</v>
      </c>
      <c r="I196" s="18">
        <f>10547.3+9805.01+206.75</f>
        <v>20559.059999999998</v>
      </c>
      <c r="J196" s="18">
        <f>1919.4+397.79</f>
        <v>2317.19</v>
      </c>
      <c r="K196" s="18">
        <v>130.5</v>
      </c>
      <c r="L196" s="19">
        <f>SUM(F196:K196)</f>
        <v>404294.07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44250+31390.56</f>
        <v>75640.56</v>
      </c>
      <c r="G197" s="18">
        <f>7114.92+5719.64+5235.74+287.02+126</f>
        <v>18483.320000000003</v>
      </c>
      <c r="H197" s="18">
        <f>13426.5+23394.52+520+45994.36</f>
        <v>83335.38</v>
      </c>
      <c r="I197" s="18">
        <v>1000</v>
      </c>
      <c r="J197" s="18"/>
      <c r="K197" s="18"/>
      <c r="L197" s="19">
        <f>SUM(F197:K197)</f>
        <v>178459.26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>
        <v>637.42999999999995</v>
      </c>
      <c r="H199" s="18"/>
      <c r="I199" s="18"/>
      <c r="J199" s="18"/>
      <c r="K199" s="18"/>
      <c r="L199" s="19">
        <f>SUM(F199:K199)</f>
        <v>637.42999999999995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46783.55+13607.65</f>
        <v>60391.200000000004</v>
      </c>
      <c r="G201" s="18">
        <f>3578.89+155+1041.03+50.87</f>
        <v>4825.79</v>
      </c>
      <c r="H201" s="18">
        <f>22871.7+18460.22+110+410.74+266.73+1224+22351.22+1669.95+1260</f>
        <v>68624.56</v>
      </c>
      <c r="I201" s="18">
        <f>504.34+996.37+164.65+218.43+71.4+487.4+249.17+880.61</f>
        <v>3572.3700000000003</v>
      </c>
      <c r="J201" s="18">
        <v>4361.8</v>
      </c>
      <c r="K201" s="18">
        <v>747</v>
      </c>
      <c r="L201" s="19">
        <f t="shared" ref="L201:L207" si="0">SUM(F201:K201)</f>
        <v>142522.71999999997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24091.83</v>
      </c>
      <c r="G202" s="18">
        <f>124.44+1842.95+70.64</f>
        <v>2038.0300000000002</v>
      </c>
      <c r="H202" s="18">
        <f>1750+87.2</f>
        <v>1837.2</v>
      </c>
      <c r="I202" s="18">
        <f>216.29+533.58+2611.44</f>
        <v>3361.31</v>
      </c>
      <c r="J202" s="18">
        <v>532.35</v>
      </c>
      <c r="K202" s="18">
        <f>375+950</f>
        <v>1325</v>
      </c>
      <c r="L202" s="19">
        <f t="shared" si="0"/>
        <v>33185.72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1307.5</v>
      </c>
      <c r="G203" s="18">
        <f>100.03+7</f>
        <v>107.03</v>
      </c>
      <c r="H203" s="18">
        <f>11494.06+2447.17+609.62+51446.48+548.38</f>
        <v>66545.710000000006</v>
      </c>
      <c r="I203" s="18">
        <v>834.21</v>
      </c>
      <c r="J203" s="18"/>
      <c r="K203" s="18">
        <v>2250.75</v>
      </c>
      <c r="L203" s="19">
        <f t="shared" si="0"/>
        <v>71045.200000000012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38192.4+26077.94+1250</f>
        <v>65520.34</v>
      </c>
      <c r="G204" s="18">
        <f>32254.22+4736.08+4504.41+194.07+500</f>
        <v>42188.780000000006</v>
      </c>
      <c r="H204" s="18">
        <f>2154.87+1835.71+234.84+285.71+244</f>
        <v>4755.13</v>
      </c>
      <c r="I204" s="18">
        <f>2166.78+510.99</f>
        <v>2677.7700000000004</v>
      </c>
      <c r="J204" s="18">
        <v>229</v>
      </c>
      <c r="K204" s="18">
        <v>790.45</v>
      </c>
      <c r="L204" s="19">
        <f t="shared" si="0"/>
        <v>116161.47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22589.67</v>
      </c>
      <c r="G206" s="18">
        <f>14229.82+1593.56+566.3</f>
        <v>16389.68</v>
      </c>
      <c r="H206" s="18">
        <f>11060.33+838+1392+3920+10091.06+5963.5+24</f>
        <v>33288.89</v>
      </c>
      <c r="I206" s="18">
        <f>7592.63+17205.23+10650.69+36.6</f>
        <v>35485.15</v>
      </c>
      <c r="J206" s="18">
        <v>4280.8999999999996</v>
      </c>
      <c r="K206" s="18">
        <v>1376</v>
      </c>
      <c r="L206" s="19">
        <f t="shared" si="0"/>
        <v>113410.28999999998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24785.2+1009.42+720.68</f>
        <v>26515.3</v>
      </c>
      <c r="G207" s="18">
        <f>1973.28+1673+134+55.12+54</f>
        <v>3889.3999999999996</v>
      </c>
      <c r="H207" s="18">
        <f>20503.08+1287.74+767.46+133.76+274.66</f>
        <v>22966.7</v>
      </c>
      <c r="I207" s="18">
        <f>670.02+118.98+11564.63+306</f>
        <v>12659.63</v>
      </c>
      <c r="J207" s="18"/>
      <c r="K207" s="18">
        <v>229.1</v>
      </c>
      <c r="L207" s="19">
        <f t="shared" si="0"/>
        <v>66260.13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509967.94999999995</v>
      </c>
      <c r="G210" s="41">
        <f t="shared" si="1"/>
        <v>207575.03</v>
      </c>
      <c r="H210" s="41">
        <f t="shared" si="1"/>
        <v>309713.77000000008</v>
      </c>
      <c r="I210" s="41">
        <f t="shared" si="1"/>
        <v>80149.5</v>
      </c>
      <c r="J210" s="41">
        <f t="shared" si="1"/>
        <v>11721.24</v>
      </c>
      <c r="K210" s="41">
        <f t="shared" si="1"/>
        <v>6848.8</v>
      </c>
      <c r="L210" s="41">
        <f t="shared" si="1"/>
        <v>1125976.29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 t="s">
        <v>287</v>
      </c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172000.58+282825</f>
        <v>454825.57999999996</v>
      </c>
      <c r="I232" s="18"/>
      <c r="J232" s="18"/>
      <c r="K232" s="18"/>
      <c r="L232" s="19">
        <f>SUM(F232:K232)</f>
        <v>454825.57999999996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109.32</v>
      </c>
      <c r="G233" s="18">
        <v>8.3699999999999992</v>
      </c>
      <c r="H233" s="18">
        <f>20078.52+111770.74</f>
        <v>131849.26</v>
      </c>
      <c r="I233" s="18"/>
      <c r="J233" s="18"/>
      <c r="K233" s="18"/>
      <c r="L233" s="19">
        <f>SUM(F233:K233)</f>
        <v>131966.95000000001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597.44+1567.5+2526+1092.74</f>
        <v>5783.68</v>
      </c>
      <c r="I237" s="18"/>
      <c r="J237" s="18"/>
      <c r="K237" s="18"/>
      <c r="L237" s="19">
        <f t="shared" ref="L237:L243" si="4">SUM(F237:K237)</f>
        <v>5783.68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1717.5</v>
      </c>
      <c r="G239" s="18">
        <f>131.41+3</f>
        <v>134.41</v>
      </c>
      <c r="H239" s="18">
        <f>4432.64+1205.33+259.38+25339.36</f>
        <v>31236.71</v>
      </c>
      <c r="I239" s="18"/>
      <c r="J239" s="18"/>
      <c r="K239" s="18">
        <v>1047.4000000000001</v>
      </c>
      <c r="L239" s="19">
        <f t="shared" si="4"/>
        <v>34136.020000000004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11687.22+266.69+1052.46</f>
        <v>13006.369999999999</v>
      </c>
      <c r="G243" s="18">
        <f>914.19+606+66+80.52</f>
        <v>1666.71</v>
      </c>
      <c r="H243" s="18">
        <f>4998.76+634.26+436.81+25143.47</f>
        <v>31213.300000000003</v>
      </c>
      <c r="I243" s="18">
        <f>229.84+53.02+4670.82</f>
        <v>4953.6799999999994</v>
      </c>
      <c r="J243" s="18"/>
      <c r="K243" s="18"/>
      <c r="L243" s="19">
        <f t="shared" si="4"/>
        <v>50840.060000000005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 t="s">
        <v>287</v>
      </c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14833.189999999999</v>
      </c>
      <c r="G246" s="41">
        <f t="shared" si="5"/>
        <v>1809.49</v>
      </c>
      <c r="H246" s="41">
        <f t="shared" si="5"/>
        <v>654908.53</v>
      </c>
      <c r="I246" s="41">
        <f t="shared" si="5"/>
        <v>4953.6799999999994</v>
      </c>
      <c r="J246" s="41">
        <f t="shared" si="5"/>
        <v>0</v>
      </c>
      <c r="K246" s="41">
        <f t="shared" si="5"/>
        <v>1047.4000000000001</v>
      </c>
      <c r="L246" s="41">
        <f t="shared" si="5"/>
        <v>677552.29000000015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524801.1399999999</v>
      </c>
      <c r="G256" s="41">
        <f t="shared" si="8"/>
        <v>209384.52</v>
      </c>
      <c r="H256" s="41">
        <f t="shared" si="8"/>
        <v>964622.3</v>
      </c>
      <c r="I256" s="41">
        <f t="shared" si="8"/>
        <v>85103.18</v>
      </c>
      <c r="J256" s="41">
        <f t="shared" si="8"/>
        <v>11721.24</v>
      </c>
      <c r="K256" s="41">
        <f t="shared" si="8"/>
        <v>7896.2000000000007</v>
      </c>
      <c r="L256" s="41">
        <f t="shared" si="8"/>
        <v>1803528.58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45000</v>
      </c>
      <c r="L259" s="19">
        <f>SUM(F259:K259)</f>
        <v>45000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15128.75</v>
      </c>
      <c r="L260" s="19">
        <f>SUM(F260:K260)</f>
        <v>15128.75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20500</v>
      </c>
      <c r="L262" s="19">
        <f>SUM(F262:K262)</f>
        <v>20500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40000</v>
      </c>
      <c r="L265" s="19">
        <f t="shared" si="9"/>
        <v>40000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120628.75</v>
      </c>
      <c r="L269" s="41">
        <f t="shared" si="9"/>
        <v>120628.75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524801.1399999999</v>
      </c>
      <c r="G270" s="42">
        <f t="shared" si="11"/>
        <v>209384.52</v>
      </c>
      <c r="H270" s="42">
        <f t="shared" si="11"/>
        <v>964622.3</v>
      </c>
      <c r="I270" s="42">
        <f t="shared" si="11"/>
        <v>85103.18</v>
      </c>
      <c r="J270" s="42">
        <f t="shared" si="11"/>
        <v>11721.24</v>
      </c>
      <c r="K270" s="42">
        <f t="shared" si="11"/>
        <v>128524.95</v>
      </c>
      <c r="L270" s="42">
        <f t="shared" si="11"/>
        <v>1924157.33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200</v>
      </c>
      <c r="G275" s="18">
        <v>15.31</v>
      </c>
      <c r="H275" s="18"/>
      <c r="I275" s="18">
        <f>139.6+216</f>
        <v>355.6</v>
      </c>
      <c r="J275" s="18">
        <v>2516</v>
      </c>
      <c r="K275" s="18"/>
      <c r="L275" s="19">
        <f>SUM(F275:K275)</f>
        <v>3086.91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72300+13169.41</f>
        <v>85469.41</v>
      </c>
      <c r="G276" s="18">
        <f>28459.68+6404.53+8169.97+258</f>
        <v>43292.18</v>
      </c>
      <c r="H276" s="18"/>
      <c r="I276" s="18"/>
      <c r="J276" s="18"/>
      <c r="K276" s="18"/>
      <c r="L276" s="19">
        <f>SUM(F276:K276)</f>
        <v>128761.59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2743.75+589.61+756.42+3022.32+12104.25+2620.86</f>
        <v>21837.21</v>
      </c>
      <c r="G278" s="18">
        <f>255.03+293.79+57.88+42.25+231.35+238.1+1126.46+993</f>
        <v>3237.86</v>
      </c>
      <c r="H278" s="18"/>
      <c r="I278" s="18">
        <f>78.79+47.9+3461.69+0.08</f>
        <v>3588.46</v>
      </c>
      <c r="J278" s="18"/>
      <c r="K278" s="18">
        <v>200</v>
      </c>
      <c r="L278" s="19">
        <f>SUM(F278:K278)</f>
        <v>28863.53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231.12+1220.02+347.76</f>
        <v>1798.8999999999999</v>
      </c>
      <c r="G280" s="18">
        <f>17.68+93.33+27.04</f>
        <v>138.04999999999998</v>
      </c>
      <c r="H280" s="18">
        <f>1189.88+2391.95+100+64</f>
        <v>3745.83</v>
      </c>
      <c r="I280" s="18">
        <f>1382.84+410.04+3431.28</f>
        <v>5224.16</v>
      </c>
      <c r="J280" s="18">
        <v>4950</v>
      </c>
      <c r="K280" s="18"/>
      <c r="L280" s="19">
        <f t="shared" ref="L280:L286" si="12">SUM(F280:K280)</f>
        <v>15856.939999999999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7273.62+442+4420+1610.742</f>
        <v>13746.361999999999</v>
      </c>
      <c r="G281" s="18">
        <f>556.47+737.64+33.8+61.64+461.39+375+1561</f>
        <v>3786.94</v>
      </c>
      <c r="H281" s="18">
        <f>8388.25+767.76+20750+350.88+3600</f>
        <v>33856.89</v>
      </c>
      <c r="I281" s="18">
        <f>200+75.02</f>
        <v>275.02</v>
      </c>
      <c r="J281" s="18"/>
      <c r="K281" s="18"/>
      <c r="L281" s="19">
        <f t="shared" si="12"/>
        <v>51665.211999999992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5500+1500</f>
        <v>7000</v>
      </c>
      <c r="G282" s="18">
        <f>420.9+621.46+114.75+122</f>
        <v>1279.1100000000001</v>
      </c>
      <c r="H282" s="18"/>
      <c r="I282" s="18"/>
      <c r="J282" s="18"/>
      <c r="K282" s="18"/>
      <c r="L282" s="19">
        <f t="shared" si="12"/>
        <v>8279.11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1500+215</f>
        <v>1715</v>
      </c>
      <c r="L284" s="19">
        <f t="shared" si="12"/>
        <v>1715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f>205.47+845.07+167.42+658.06</f>
        <v>1876.02</v>
      </c>
      <c r="G286" s="18">
        <f>15.72+64.64+12.81+50.35</f>
        <v>143.52000000000001</v>
      </c>
      <c r="H286" s="18"/>
      <c r="I286" s="18">
        <v>373.37</v>
      </c>
      <c r="J286" s="18"/>
      <c r="K286" s="18"/>
      <c r="L286" s="19">
        <f t="shared" si="12"/>
        <v>2392.91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131927.90199999997</v>
      </c>
      <c r="G289" s="42">
        <f t="shared" si="13"/>
        <v>51892.97</v>
      </c>
      <c r="H289" s="42">
        <f t="shared" si="13"/>
        <v>37602.720000000001</v>
      </c>
      <c r="I289" s="42">
        <f t="shared" si="13"/>
        <v>9816.61</v>
      </c>
      <c r="J289" s="42">
        <f t="shared" si="13"/>
        <v>7466</v>
      </c>
      <c r="K289" s="42">
        <f t="shared" si="13"/>
        <v>1915</v>
      </c>
      <c r="L289" s="41">
        <f t="shared" si="13"/>
        <v>240621.20200000002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131927.90199999997</v>
      </c>
      <c r="G337" s="41">
        <f t="shared" si="20"/>
        <v>51892.97</v>
      </c>
      <c r="H337" s="41">
        <f t="shared" si="20"/>
        <v>37602.720000000001</v>
      </c>
      <c r="I337" s="41">
        <f t="shared" si="20"/>
        <v>9816.61</v>
      </c>
      <c r="J337" s="41">
        <f t="shared" si="20"/>
        <v>7466</v>
      </c>
      <c r="K337" s="41">
        <f t="shared" si="20"/>
        <v>1915</v>
      </c>
      <c r="L337" s="41">
        <f t="shared" si="20"/>
        <v>240621.20200000002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131927.90199999997</v>
      </c>
      <c r="G351" s="41">
        <f>G337</f>
        <v>51892.97</v>
      </c>
      <c r="H351" s="41">
        <f>H337</f>
        <v>37602.720000000001</v>
      </c>
      <c r="I351" s="41">
        <f>I337</f>
        <v>9816.61</v>
      </c>
      <c r="J351" s="41">
        <f>J337</f>
        <v>7466</v>
      </c>
      <c r="K351" s="47">
        <f>K337+K350</f>
        <v>1915</v>
      </c>
      <c r="L351" s="41">
        <f>L337+L350</f>
        <v>240621.20200000002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28424.2+1830.86</f>
        <v>30255.06</v>
      </c>
      <c r="G357" s="18">
        <f>2314.07+548.82</f>
        <v>2862.8900000000003</v>
      </c>
      <c r="H357" s="18">
        <f>1706.98+449.11</f>
        <v>2156.09</v>
      </c>
      <c r="I357" s="18">
        <f>2369.46+30507.41+468.34</f>
        <v>33345.21</v>
      </c>
      <c r="J357" s="18"/>
      <c r="K357" s="18">
        <v>308.88</v>
      </c>
      <c r="L357" s="13">
        <f>SUM(F357:K357)</f>
        <v>68928.13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30255.06</v>
      </c>
      <c r="G361" s="47">
        <f t="shared" si="22"/>
        <v>2862.8900000000003</v>
      </c>
      <c r="H361" s="47">
        <f t="shared" si="22"/>
        <v>2156.09</v>
      </c>
      <c r="I361" s="47">
        <f t="shared" si="22"/>
        <v>33345.21</v>
      </c>
      <c r="J361" s="47">
        <f t="shared" si="22"/>
        <v>0</v>
      </c>
      <c r="K361" s="47">
        <f t="shared" si="22"/>
        <v>308.88</v>
      </c>
      <c r="L361" s="47">
        <f t="shared" si="22"/>
        <v>68928.13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30507.41</v>
      </c>
      <c r="G366" s="18"/>
      <c r="H366" s="18"/>
      <c r="I366" s="56">
        <f>SUM(F366:H366)</f>
        <v>30507.41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2369.46+468.34</f>
        <v>2837.8</v>
      </c>
      <c r="G367" s="63"/>
      <c r="H367" s="63"/>
      <c r="I367" s="56">
        <f>SUM(F367:H367)</f>
        <v>2837.8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33345.21</v>
      </c>
      <c r="G368" s="47">
        <f>SUM(G366:G367)</f>
        <v>0</v>
      </c>
      <c r="H368" s="47">
        <f>SUM(H366:H367)</f>
        <v>0</v>
      </c>
      <c r="I368" s="47">
        <f>SUM(I366:I367)</f>
        <v>33345.21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20000</v>
      </c>
      <c r="H389" s="18">
        <v>159.9</v>
      </c>
      <c r="I389" s="18"/>
      <c r="J389" s="24" t="s">
        <v>289</v>
      </c>
      <c r="K389" s="24" t="s">
        <v>289</v>
      </c>
      <c r="L389" s="56">
        <f t="shared" si="25"/>
        <v>20159.900000000001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20000</v>
      </c>
      <c r="H392" s="139">
        <f>SUM(H386:H391)</f>
        <v>159.9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20159.900000000001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2.64</v>
      </c>
      <c r="I395" s="18"/>
      <c r="J395" s="24" t="s">
        <v>289</v>
      </c>
      <c r="K395" s="24" t="s">
        <v>289</v>
      </c>
      <c r="L395" s="56">
        <f t="shared" si="26"/>
        <v>2.64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20000</v>
      </c>
      <c r="H397" s="18">
        <v>342.59</v>
      </c>
      <c r="I397" s="18"/>
      <c r="J397" s="24" t="s">
        <v>289</v>
      </c>
      <c r="K397" s="24" t="s">
        <v>289</v>
      </c>
      <c r="L397" s="56">
        <f t="shared" si="26"/>
        <v>20342.59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8.39</v>
      </c>
      <c r="I399" s="18"/>
      <c r="J399" s="24" t="s">
        <v>289</v>
      </c>
      <c r="K399" s="24" t="s">
        <v>289</v>
      </c>
      <c r="L399" s="56">
        <f t="shared" si="26"/>
        <v>8.39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353.61999999999995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20353.62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40000</v>
      </c>
      <c r="H407" s="47">
        <f>H392+H400+H406</f>
        <v>513.52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40513.520000000004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50</v>
      </c>
      <c r="L425" s="56">
        <f t="shared" si="29"/>
        <v>50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50</v>
      </c>
      <c r="L426" s="47">
        <f t="shared" si="30"/>
        <v>50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50</v>
      </c>
      <c r="L433" s="47">
        <f t="shared" si="32"/>
        <v>50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72068.5</v>
      </c>
      <c r="G438" s="18">
        <f>214226.93-72068.5-1112.5</f>
        <v>141045.93</v>
      </c>
      <c r="H438" s="18">
        <v>1112.5</v>
      </c>
      <c r="I438" s="56">
        <f t="shared" ref="I438:I444" si="33">SUM(F438:H438)</f>
        <v>214226.93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72068.5</v>
      </c>
      <c r="G445" s="13">
        <f>SUM(G438:G444)</f>
        <v>141045.93</v>
      </c>
      <c r="H445" s="13">
        <f>SUM(H438:H444)</f>
        <v>1112.5</v>
      </c>
      <c r="I445" s="13">
        <f>SUM(I438:I444)</f>
        <v>214226.93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>
        <v>50</v>
      </c>
      <c r="I449" s="56">
        <f>SUM(F449:H449)</f>
        <v>50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50</v>
      </c>
      <c r="I451" s="72">
        <f>SUM(I447:I450)</f>
        <v>50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72068.5</v>
      </c>
      <c r="G458" s="18">
        <f>214226.93-1112.5-72068.5</f>
        <v>141045.93</v>
      </c>
      <c r="H458" s="18">
        <f>1112.5-50</f>
        <v>1062.5</v>
      </c>
      <c r="I458" s="56">
        <f t="shared" si="34"/>
        <v>214176.93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72068.5</v>
      </c>
      <c r="G459" s="83">
        <f>SUM(G453:G458)</f>
        <v>141045.93</v>
      </c>
      <c r="H459" s="83">
        <f>SUM(H453:H458)</f>
        <v>1062.5</v>
      </c>
      <c r="I459" s="83">
        <f>SUM(I453:I458)</f>
        <v>214176.93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72068.5</v>
      </c>
      <c r="G460" s="42">
        <f>G451+G459</f>
        <v>141045.93</v>
      </c>
      <c r="H460" s="42">
        <f>H451+H459</f>
        <v>1112.5</v>
      </c>
      <c r="I460" s="42">
        <f>I451+I459</f>
        <v>214226.93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250622.86</v>
      </c>
      <c r="G464" s="18">
        <v>12514.84</v>
      </c>
      <c r="H464" s="18"/>
      <c r="I464" s="18"/>
      <c r="J464" s="18">
        <v>173713.41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1715063.31</v>
      </c>
      <c r="G467" s="18">
        <v>68667.98</v>
      </c>
      <c r="H467" s="18">
        <v>240621.2</v>
      </c>
      <c r="I467" s="18"/>
      <c r="J467" s="18">
        <f>40513.52</f>
        <v>40513.519999999997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 t="s">
        <v>287</v>
      </c>
      <c r="G468" s="18">
        <v>1505.86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1715063.31</v>
      </c>
      <c r="G469" s="53">
        <f>SUM(G467:G468)</f>
        <v>70173.84</v>
      </c>
      <c r="H469" s="53">
        <f>SUM(H467:H468)</f>
        <v>240621.2</v>
      </c>
      <c r="I469" s="53">
        <f>SUM(I467:I468)</f>
        <v>0</v>
      </c>
      <c r="J469" s="53">
        <f>SUM(J467:J468)</f>
        <v>40513.519999999997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1924157.33</v>
      </c>
      <c r="G471" s="18">
        <v>68928.13</v>
      </c>
      <c r="H471" s="18">
        <v>240621.2</v>
      </c>
      <c r="I471" s="18"/>
      <c r="J471" s="18">
        <v>50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1924157.33</v>
      </c>
      <c r="G473" s="53">
        <f>SUM(G471:G472)</f>
        <v>68928.13</v>
      </c>
      <c r="H473" s="53">
        <f>SUM(H471:H472)</f>
        <v>240621.2</v>
      </c>
      <c r="I473" s="53">
        <f>SUM(I471:I472)</f>
        <v>0</v>
      </c>
      <c r="J473" s="53">
        <f>SUM(J471:J472)</f>
        <v>50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41528.839999999851</v>
      </c>
      <c r="G475" s="53">
        <f>(G464+G469)- G473</f>
        <v>13760.549999999988</v>
      </c>
      <c r="H475" s="53">
        <f>(H464+H469)- H473</f>
        <v>0</v>
      </c>
      <c r="I475" s="53">
        <f>(I464+I469)- I473</f>
        <v>0</v>
      </c>
      <c r="J475" s="53">
        <f>(J464+J469)- J473</f>
        <v>214176.93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911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249438</v>
      </c>
      <c r="G492" s="18">
        <v>748312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5.01</v>
      </c>
      <c r="G493" s="18">
        <v>4.9800000000000004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70000</v>
      </c>
      <c r="G494" s="18">
        <v>280000</v>
      </c>
      <c r="H494" s="18"/>
      <c r="I494" s="18"/>
      <c r="J494" s="18"/>
      <c r="K494" s="53">
        <f>SUM(F494:J494)</f>
        <v>350000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10000</v>
      </c>
      <c r="G496" s="18">
        <v>35000</v>
      </c>
      <c r="H496" s="18"/>
      <c r="I496" s="18"/>
      <c r="J496" s="18"/>
      <c r="K496" s="53">
        <f t="shared" si="35"/>
        <v>45000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60000</v>
      </c>
      <c r="G497" s="205">
        <v>245000</v>
      </c>
      <c r="H497" s="205"/>
      <c r="I497" s="205"/>
      <c r="J497" s="205"/>
      <c r="K497" s="206">
        <f t="shared" si="35"/>
        <v>305000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9475</v>
      </c>
      <c r="G498" s="18">
        <v>32690</v>
      </c>
      <c r="H498" s="18"/>
      <c r="I498" s="18"/>
      <c r="J498" s="18"/>
      <c r="K498" s="53">
        <f t="shared" si="35"/>
        <v>42165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69475</v>
      </c>
      <c r="G499" s="42">
        <f>SUM(G497:G498)</f>
        <v>277690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347165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10000</v>
      </c>
      <c r="G500" s="205">
        <v>35000</v>
      </c>
      <c r="H500" s="205"/>
      <c r="I500" s="205"/>
      <c r="J500" s="205"/>
      <c r="K500" s="206">
        <f t="shared" si="35"/>
        <v>45000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1570+1312.5</f>
        <v>2882.5</v>
      </c>
      <c r="G501" s="18">
        <f>5425+4532.5</f>
        <v>9957.5</v>
      </c>
      <c r="H501" s="18"/>
      <c r="I501" s="18"/>
      <c r="J501" s="18"/>
      <c r="K501" s="53">
        <f t="shared" si="35"/>
        <v>12840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12882.5</v>
      </c>
      <c r="G502" s="42">
        <f>SUM(G500:G501)</f>
        <v>44957.5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57840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44250+31390.56</f>
        <v>75640.56</v>
      </c>
      <c r="G520" s="18">
        <f>7114.92+5719.64+5235.74+287.02</f>
        <v>18357.320000000003</v>
      </c>
      <c r="H520" s="18">
        <f>13426.5+23394.52+520+45994.36</f>
        <v>83335.38</v>
      </c>
      <c r="I520" s="18">
        <v>1000</v>
      </c>
      <c r="J520" s="18"/>
      <c r="K520" s="18"/>
      <c r="L520" s="88">
        <f>SUM(F520:K520)</f>
        <v>178333.26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131849.26</v>
      </c>
      <c r="I522" s="18"/>
      <c r="J522" s="18"/>
      <c r="K522" s="18"/>
      <c r="L522" s="88">
        <f>SUM(F522:K522)</f>
        <v>131849.26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75640.56</v>
      </c>
      <c r="G523" s="108">
        <f t="shared" ref="G523:L523" si="36">SUM(G520:G522)</f>
        <v>18357.320000000003</v>
      </c>
      <c r="H523" s="108">
        <f t="shared" si="36"/>
        <v>215184.64000000001</v>
      </c>
      <c r="I523" s="108">
        <f t="shared" si="36"/>
        <v>1000</v>
      </c>
      <c r="J523" s="108">
        <f t="shared" si="36"/>
        <v>0</v>
      </c>
      <c r="K523" s="108">
        <f t="shared" si="36"/>
        <v>0</v>
      </c>
      <c r="L523" s="89">
        <f t="shared" si="36"/>
        <v>310182.52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23024.34+6580.13</f>
        <v>29604.47</v>
      </c>
      <c r="G525" s="18">
        <f>1761.34+51.15+503.43+50.87</f>
        <v>2366.79</v>
      </c>
      <c r="H525" s="18">
        <f>12926.02-3450.15+266.73</f>
        <v>9742.6</v>
      </c>
      <c r="I525" s="18">
        <f>1224+218.43+71.4+306</f>
        <v>1819.8300000000002</v>
      </c>
      <c r="J525" s="18">
        <f>996.37+164.65</f>
        <v>1161.02</v>
      </c>
      <c r="K525" s="18"/>
      <c r="L525" s="88">
        <f>SUM(F525:K525)</f>
        <v>44694.71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1567.5+2526-666+1092.74</f>
        <v>4520.24</v>
      </c>
      <c r="I527" s="18"/>
      <c r="J527" s="18"/>
      <c r="K527" s="18"/>
      <c r="L527" s="88">
        <f>SUM(F527:K527)</f>
        <v>4520.24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29604.47</v>
      </c>
      <c r="G528" s="89">
        <f t="shared" ref="G528:L528" si="37">SUM(G525:G527)</f>
        <v>2366.79</v>
      </c>
      <c r="H528" s="89">
        <f t="shared" si="37"/>
        <v>14262.84</v>
      </c>
      <c r="I528" s="89">
        <f t="shared" si="37"/>
        <v>1819.8300000000002</v>
      </c>
      <c r="J528" s="89">
        <f t="shared" si="37"/>
        <v>1161.02</v>
      </c>
      <c r="K528" s="89">
        <f t="shared" si="37"/>
        <v>0</v>
      </c>
      <c r="L528" s="89">
        <f t="shared" si="37"/>
        <v>49214.95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f>19296.22*0.7</f>
        <v>13507.353999999999</v>
      </c>
      <c r="I530" s="18"/>
      <c r="J530" s="18"/>
      <c r="K530" s="18"/>
      <c r="L530" s="88">
        <f>SUM(F530:K530)</f>
        <v>13507.353999999999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f>19296.22*0.3</f>
        <v>5788.866</v>
      </c>
      <c r="I532" s="18"/>
      <c r="J532" s="18"/>
      <c r="K532" s="18"/>
      <c r="L532" s="88">
        <f>SUM(F532:K532)</f>
        <v>5788.866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19296.22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19296.22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26582.45</v>
      </c>
      <c r="I542" s="18"/>
      <c r="J542" s="18"/>
      <c r="K542" s="18"/>
      <c r="L542" s="88">
        <f>SUM(F542:K542)</f>
        <v>26582.45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26582.45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26582.45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105245.03</v>
      </c>
      <c r="G544" s="89">
        <f t="shared" ref="G544:L544" si="41">G523+G528+G533+G538+G543</f>
        <v>20724.110000000004</v>
      </c>
      <c r="H544" s="89">
        <f t="shared" si="41"/>
        <v>275326.15000000002</v>
      </c>
      <c r="I544" s="89">
        <f t="shared" si="41"/>
        <v>2819.83</v>
      </c>
      <c r="J544" s="89">
        <f t="shared" si="41"/>
        <v>1161.02</v>
      </c>
      <c r="K544" s="89">
        <f t="shared" si="41"/>
        <v>0</v>
      </c>
      <c r="L544" s="89">
        <f t="shared" si="41"/>
        <v>405276.14000000007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178333.26</v>
      </c>
      <c r="G548" s="87">
        <f>L525</f>
        <v>44694.71</v>
      </c>
      <c r="H548" s="87">
        <f>L530</f>
        <v>13507.353999999999</v>
      </c>
      <c r="I548" s="87">
        <f>L535</f>
        <v>0</v>
      </c>
      <c r="J548" s="87">
        <f>L540</f>
        <v>0</v>
      </c>
      <c r="K548" s="87">
        <f>SUM(F548:J548)</f>
        <v>236535.32399999999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131849.26</v>
      </c>
      <c r="G550" s="87">
        <f>L527</f>
        <v>4520.24</v>
      </c>
      <c r="H550" s="87">
        <f>L532</f>
        <v>5788.866</v>
      </c>
      <c r="I550" s="87">
        <f>L537</f>
        <v>0</v>
      </c>
      <c r="J550" s="87">
        <f>L542</f>
        <v>26582.45</v>
      </c>
      <c r="K550" s="87">
        <f>SUM(F550:J550)</f>
        <v>168740.81600000002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310182.52</v>
      </c>
      <c r="G551" s="89">
        <f t="shared" si="42"/>
        <v>49214.95</v>
      </c>
      <c r="H551" s="89">
        <f t="shared" si="42"/>
        <v>19296.22</v>
      </c>
      <c r="I551" s="89">
        <f t="shared" si="42"/>
        <v>0</v>
      </c>
      <c r="J551" s="89">
        <f t="shared" si="42"/>
        <v>26582.45</v>
      </c>
      <c r="K551" s="89">
        <f t="shared" si="42"/>
        <v>405276.14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 t="s">
        <v>287</v>
      </c>
      <c r="G574" s="18"/>
      <c r="H574" s="18">
        <v>172000.58</v>
      </c>
      <c r="I574" s="87">
        <f>SUM(F574:H574)</f>
        <v>172000.58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282825</v>
      </c>
      <c r="I575" s="87">
        <f t="shared" ref="I575:I586" si="47">SUM(F575:H575)</f>
        <v>282825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 t="s">
        <v>287</v>
      </c>
      <c r="G578" s="18"/>
      <c r="H578" s="18">
        <v>20078.52</v>
      </c>
      <c r="I578" s="87">
        <f t="shared" si="47"/>
        <v>20078.52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 t="s">
        <v>287</v>
      </c>
      <c r="G581" s="18"/>
      <c r="H581" s="18">
        <v>111770.74</v>
      </c>
      <c r="I581" s="87">
        <f t="shared" si="47"/>
        <v>111770.74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65155.67</v>
      </c>
      <c r="I590" s="18"/>
      <c r="J590" s="18">
        <f>24563.61-306</f>
        <v>24257.61</v>
      </c>
      <c r="K590" s="104">
        <f t="shared" ref="K590:K596" si="48">SUM(H590:J590)</f>
        <v>89413.28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0</v>
      </c>
      <c r="I591" s="18"/>
      <c r="J591" s="18">
        <v>26582.45</v>
      </c>
      <c r="K591" s="104">
        <f t="shared" si="48"/>
        <v>26582.45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1104.46</v>
      </c>
      <c r="I594" s="18"/>
      <c r="J594" s="18"/>
      <c r="K594" s="104">
        <f t="shared" si="48"/>
        <v>1104.46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66260.13</v>
      </c>
      <c r="I597" s="108">
        <f>SUM(I590:I596)</f>
        <v>0</v>
      </c>
      <c r="J597" s="108">
        <f>SUM(J590:J596)</f>
        <v>50840.06</v>
      </c>
      <c r="K597" s="108">
        <f>SUM(K590:K596)</f>
        <v>117100.19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11721.24+4950+2516</f>
        <v>19187.239999999998</v>
      </c>
      <c r="I603" s="18"/>
      <c r="J603" s="18"/>
      <c r="K603" s="104">
        <f>SUM(H603:J603)</f>
        <v>19187.239999999998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19187.239999999998</v>
      </c>
      <c r="I604" s="108">
        <f>SUM(I601:I603)</f>
        <v>0</v>
      </c>
      <c r="J604" s="108">
        <f>SUM(J601:J603)</f>
        <v>0</v>
      </c>
      <c r="K604" s="108">
        <f>SUM(K601:K603)</f>
        <v>19187.239999999998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2743.75+12104.25+2620.856</f>
        <v>17468.856</v>
      </c>
      <c r="G610" s="18">
        <f>637.43+589.61+255.03+293.79+1126.46+993</f>
        <v>3895.3199999999997</v>
      </c>
      <c r="H610" s="18"/>
      <c r="I610" s="18"/>
      <c r="J610" s="18"/>
      <c r="K610" s="18">
        <v>200</v>
      </c>
      <c r="L610" s="88">
        <f>SUM(F610:K610)</f>
        <v>21564.175999999999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17468.856</v>
      </c>
      <c r="G613" s="108">
        <f t="shared" si="49"/>
        <v>3895.3199999999997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200</v>
      </c>
      <c r="L613" s="89">
        <f t="shared" si="49"/>
        <v>21564.175999999999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132358.93</v>
      </c>
      <c r="H616" s="109">
        <f>SUM(F51)</f>
        <v>132358.93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14058.16</v>
      </c>
      <c r="H617" s="109">
        <f>SUM(G51)</f>
        <v>14058.16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55239.71</v>
      </c>
      <c r="H618" s="109">
        <f>SUM(H51)</f>
        <v>55239.71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214226.93</v>
      </c>
      <c r="H620" s="109">
        <f>SUM(J51)</f>
        <v>214226.93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41528.839999999997</v>
      </c>
      <c r="H621" s="109">
        <f>F475</f>
        <v>41528.839999999851</v>
      </c>
      <c r="I621" s="121" t="s">
        <v>101</v>
      </c>
      <c r="J621" s="109">
        <f t="shared" ref="J621:J654" si="50">G621-H621</f>
        <v>1.4551915228366852E-10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13760.55</v>
      </c>
      <c r="H622" s="109">
        <f>G475</f>
        <v>13760.549999999988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214176.93</v>
      </c>
      <c r="H625" s="109">
        <f>J475</f>
        <v>214176.93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1715063.3100000003</v>
      </c>
      <c r="H626" s="104">
        <f>SUM(F467)</f>
        <v>1715063.31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68667.98</v>
      </c>
      <c r="H627" s="104">
        <f>SUM(G467)</f>
        <v>68667.98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240621.2</v>
      </c>
      <c r="H628" s="104">
        <f>SUM(H467)</f>
        <v>240621.2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40513.519999999997</v>
      </c>
      <c r="H630" s="104">
        <f>SUM(J467)</f>
        <v>40513.519999999997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1924157.33</v>
      </c>
      <c r="H631" s="104">
        <f>SUM(F471)</f>
        <v>1924157.33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240621.20200000002</v>
      </c>
      <c r="H632" s="104">
        <f>SUM(H471)</f>
        <v>240621.2</v>
      </c>
      <c r="I632" s="140" t="s">
        <v>112</v>
      </c>
      <c r="J632" s="109">
        <f>G632-H632</f>
        <v>2.0000000076834112E-3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33345.21</v>
      </c>
      <c r="H633" s="104">
        <f>I368</f>
        <v>33345.21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68928.13</v>
      </c>
      <c r="H634" s="104">
        <f>SUM(G471)</f>
        <v>68928.13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40513.520000000004</v>
      </c>
      <c r="H636" s="164">
        <f>SUM(J467)</f>
        <v>40513.519999999997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50</v>
      </c>
      <c r="H637" s="164">
        <f>SUM(J471)</f>
        <v>50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72068.5</v>
      </c>
      <c r="H638" s="104">
        <f>SUM(F460)</f>
        <v>72068.5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141045.93</v>
      </c>
      <c r="H639" s="104">
        <f>SUM(G460)</f>
        <v>141045.93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1112.5</v>
      </c>
      <c r="H640" s="104">
        <f>SUM(H460)</f>
        <v>1112.5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214226.93</v>
      </c>
      <c r="H641" s="104">
        <f>SUM(I460)</f>
        <v>214226.93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513.52</v>
      </c>
      <c r="H643" s="104">
        <f>H407</f>
        <v>513.52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40000</v>
      </c>
      <c r="H644" s="104">
        <f>G407</f>
        <v>40000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40513.519999999997</v>
      </c>
      <c r="H645" s="104">
        <f>L407</f>
        <v>40513.520000000004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117100.19</v>
      </c>
      <c r="H646" s="104">
        <f>L207+L225+L243</f>
        <v>117100.19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19187.239999999998</v>
      </c>
      <c r="H647" s="104">
        <f>(J256+J337)-(J254+J335)</f>
        <v>19187.239999999998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66260.13</v>
      </c>
      <c r="H648" s="104">
        <f>H597</f>
        <v>66260.13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50840.060000000005</v>
      </c>
      <c r="H650" s="104">
        <f>J597</f>
        <v>50840.06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20500</v>
      </c>
      <c r="H651" s="104">
        <f>K262+K344</f>
        <v>20500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40000</v>
      </c>
      <c r="H654" s="104">
        <f>K265+K346</f>
        <v>40000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1.9999993965029716E-3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1435525.622</v>
      </c>
      <c r="G659" s="19">
        <f>(L228+L308+L358)</f>
        <v>0</v>
      </c>
      <c r="H659" s="19">
        <f>(L246+L327+L359)</f>
        <v>677552.29000000015</v>
      </c>
      <c r="I659" s="19">
        <f>SUM(F659:H659)</f>
        <v>2113077.912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15702.08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15702.08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68653.040000000008</v>
      </c>
      <c r="G661" s="19">
        <f>(L225+L305)-(J225+J305)</f>
        <v>0</v>
      </c>
      <c r="H661" s="19">
        <f>(L243+L324)-(J243+J324)</f>
        <v>50840.060000000005</v>
      </c>
      <c r="I661" s="19">
        <f>SUM(F661:H661)</f>
        <v>119493.1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40751.415999999997</v>
      </c>
      <c r="G662" s="200">
        <f>SUM(G574:G586)+SUM(I601:I603)+L611</f>
        <v>0</v>
      </c>
      <c r="H662" s="200">
        <f>SUM(H574:H586)+SUM(J601:J603)+L612</f>
        <v>586674.84</v>
      </c>
      <c r="I662" s="19">
        <f>SUM(F662:H662)</f>
        <v>627426.25599999994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1310419.0859999999</v>
      </c>
      <c r="G663" s="19">
        <f>G659-SUM(G660:G662)</f>
        <v>0</v>
      </c>
      <c r="H663" s="19">
        <f>H659-SUM(H660:H662)</f>
        <v>40037.39000000013</v>
      </c>
      <c r="I663" s="19">
        <f>I659-SUM(I660:I662)</f>
        <v>1350456.476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79.36</v>
      </c>
      <c r="G664" s="249"/>
      <c r="H664" s="249"/>
      <c r="I664" s="19">
        <f>SUM(F664:H664)</f>
        <v>79.36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16512.34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17016.84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-40037.39</v>
      </c>
      <c r="I668" s="19">
        <f>SUM(F668:H668)</f>
        <v>-40037.39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16512.34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16512.34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Stewartstown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234111.55</v>
      </c>
      <c r="C9" s="230">
        <f>'DOE25'!G196+'DOE25'!G214+'DOE25'!G232+'DOE25'!G275+'DOE25'!G294+'DOE25'!G313</f>
        <v>119030.88</v>
      </c>
    </row>
    <row r="10" spans="1:3" x14ac:dyDescent="0.2">
      <c r="A10" t="s">
        <v>779</v>
      </c>
      <c r="B10" s="241">
        <f>185899.69+18604.56</f>
        <v>204504.25</v>
      </c>
      <c r="C10" s="241">
        <v>115912.91</v>
      </c>
    </row>
    <row r="11" spans="1:3" x14ac:dyDescent="0.2">
      <c r="A11" t="s">
        <v>780</v>
      </c>
      <c r="B11" s="241">
        <f>15456.34</f>
        <v>15456.34</v>
      </c>
      <c r="C11" s="241">
        <v>1632.19</v>
      </c>
    </row>
    <row r="12" spans="1:3" x14ac:dyDescent="0.2">
      <c r="A12" t="s">
        <v>781</v>
      </c>
      <c r="B12" s="241">
        <f>13950.96+200</f>
        <v>14150.96</v>
      </c>
      <c r="C12" s="241">
        <v>1485.78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234111.55</v>
      </c>
      <c r="C13" s="232">
        <f>SUM(C10:C12)</f>
        <v>119030.88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161219.29</v>
      </c>
      <c r="C18" s="230">
        <f>'DOE25'!G197+'DOE25'!G215+'DOE25'!G233+'DOE25'!G276+'DOE25'!G295+'DOE25'!G314</f>
        <v>61783.87</v>
      </c>
    </row>
    <row r="19" spans="1:3" x14ac:dyDescent="0.2">
      <c r="A19" t="s">
        <v>779</v>
      </c>
      <c r="B19" s="241">
        <f>44250+72300</f>
        <v>116550</v>
      </c>
      <c r="C19" s="241">
        <v>57026.59</v>
      </c>
    </row>
    <row r="20" spans="1:3" x14ac:dyDescent="0.2">
      <c r="A20" t="s">
        <v>780</v>
      </c>
      <c r="B20" s="241">
        <f>31390.56+13169.41</f>
        <v>44559.97</v>
      </c>
      <c r="C20" s="241">
        <v>4745.6400000000003</v>
      </c>
    </row>
    <row r="21" spans="1:3" x14ac:dyDescent="0.2">
      <c r="A21" t="s">
        <v>781</v>
      </c>
      <c r="B21" s="241">
        <v>109.32</v>
      </c>
      <c r="C21" s="241">
        <v>11.64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161219.29</v>
      </c>
      <c r="C22" s="232">
        <f>SUM(C19:C21)</f>
        <v>61783.869999999995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21837.21</v>
      </c>
      <c r="C36" s="236">
        <f>'DOE25'!G199+'DOE25'!G217+'DOE25'!G235+'DOE25'!G278+'DOE25'!G297+'DOE25'!G316</f>
        <v>3875.29</v>
      </c>
    </row>
    <row r="37" spans="1:3" x14ac:dyDescent="0.2">
      <c r="A37" t="s">
        <v>779</v>
      </c>
      <c r="B37" s="241">
        <f>2743.75+756.42+12104.25+3022.32</f>
        <v>18626.740000000002</v>
      </c>
      <c r="C37" s="241">
        <v>3533.37</v>
      </c>
    </row>
    <row r="38" spans="1:3" x14ac:dyDescent="0.2">
      <c r="A38" t="s">
        <v>780</v>
      </c>
      <c r="B38" s="241">
        <f>589.61+2620.86</f>
        <v>3210.4700000000003</v>
      </c>
      <c r="C38" s="241">
        <v>341.92</v>
      </c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21837.210000000003</v>
      </c>
      <c r="C40" s="232">
        <f>SUM(C37:C39)</f>
        <v>3875.29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Stewartstown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1170183.29</v>
      </c>
      <c r="D5" s="20">
        <f>SUM('DOE25'!L196:L199)+SUM('DOE25'!L214:L217)+SUM('DOE25'!L232:L235)-F5-G5</f>
        <v>1167735.6000000001</v>
      </c>
      <c r="E5" s="244"/>
      <c r="F5" s="256">
        <f>SUM('DOE25'!J196:J199)+SUM('DOE25'!J214:J217)+SUM('DOE25'!J232:J235)</f>
        <v>2317.19</v>
      </c>
      <c r="G5" s="53">
        <f>SUM('DOE25'!K196:K199)+SUM('DOE25'!K214:K217)+SUM('DOE25'!K232:K235)</f>
        <v>130.5</v>
      </c>
      <c r="H5" s="260"/>
    </row>
    <row r="6" spans="1:9" x14ac:dyDescent="0.2">
      <c r="A6" s="32">
        <v>2100</v>
      </c>
      <c r="B6" t="s">
        <v>801</v>
      </c>
      <c r="C6" s="246">
        <f t="shared" si="0"/>
        <v>148306.39999999997</v>
      </c>
      <c r="D6" s="20">
        <f>'DOE25'!L201+'DOE25'!L219+'DOE25'!L237-F6-G6</f>
        <v>143197.59999999998</v>
      </c>
      <c r="E6" s="244"/>
      <c r="F6" s="256">
        <f>'DOE25'!J201+'DOE25'!J219+'DOE25'!J237</f>
        <v>4361.8</v>
      </c>
      <c r="G6" s="53">
        <f>'DOE25'!K201+'DOE25'!K219+'DOE25'!K237</f>
        <v>747</v>
      </c>
      <c r="H6" s="260"/>
    </row>
    <row r="7" spans="1:9" x14ac:dyDescent="0.2">
      <c r="A7" s="32">
        <v>2200</v>
      </c>
      <c r="B7" t="s">
        <v>834</v>
      </c>
      <c r="C7" s="246">
        <f t="shared" si="0"/>
        <v>33185.72</v>
      </c>
      <c r="D7" s="20">
        <f>'DOE25'!L202+'DOE25'!L220+'DOE25'!L238-F7-G7</f>
        <v>31328.370000000003</v>
      </c>
      <c r="E7" s="244"/>
      <c r="F7" s="256">
        <f>'DOE25'!J202+'DOE25'!J220+'DOE25'!J238</f>
        <v>532.35</v>
      </c>
      <c r="G7" s="53">
        <f>'DOE25'!K202+'DOE25'!K220+'DOE25'!K238</f>
        <v>1325</v>
      </c>
      <c r="H7" s="260"/>
    </row>
    <row r="8" spans="1:9" x14ac:dyDescent="0.2">
      <c r="A8" s="32">
        <v>2300</v>
      </c>
      <c r="B8" t="s">
        <v>802</v>
      </c>
      <c r="C8" s="246">
        <f t="shared" si="0"/>
        <v>52443.620000000024</v>
      </c>
      <c r="D8" s="244"/>
      <c r="E8" s="20">
        <f>'DOE25'!L203+'DOE25'!L221+'DOE25'!L239-F8-G8-D9-D11</f>
        <v>49145.470000000023</v>
      </c>
      <c r="F8" s="256">
        <f>'DOE25'!J203+'DOE25'!J221+'DOE25'!J239</f>
        <v>0</v>
      </c>
      <c r="G8" s="53">
        <f>'DOE25'!K203+'DOE25'!K221+'DOE25'!K239</f>
        <v>3298.15</v>
      </c>
      <c r="H8" s="260"/>
    </row>
    <row r="9" spans="1:9" x14ac:dyDescent="0.2">
      <c r="A9" s="32">
        <v>2310</v>
      </c>
      <c r="B9" t="s">
        <v>818</v>
      </c>
      <c r="C9" s="246">
        <f t="shared" si="0"/>
        <v>27847</v>
      </c>
      <c r="D9" s="245">
        <f>19050.34+8796.66</f>
        <v>27847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6500</v>
      </c>
      <c r="D10" s="244"/>
      <c r="E10" s="245">
        <v>6500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24890.6</v>
      </c>
      <c r="D11" s="245">
        <v>24890.6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116161.47</v>
      </c>
      <c r="D12" s="20">
        <f>'DOE25'!L204+'DOE25'!L222+'DOE25'!L240-F12-G12</f>
        <v>115142.02</v>
      </c>
      <c r="E12" s="244"/>
      <c r="F12" s="256">
        <f>'DOE25'!J204+'DOE25'!J222+'DOE25'!J240</f>
        <v>229</v>
      </c>
      <c r="G12" s="53">
        <f>'DOE25'!K204+'DOE25'!K222+'DOE25'!K240</f>
        <v>790.45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113410.28999999998</v>
      </c>
      <c r="D14" s="20">
        <f>'DOE25'!L206+'DOE25'!L224+'DOE25'!L242-F14-G14</f>
        <v>107753.38999999998</v>
      </c>
      <c r="E14" s="244"/>
      <c r="F14" s="256">
        <f>'DOE25'!J206+'DOE25'!J224+'DOE25'!J242</f>
        <v>4280.8999999999996</v>
      </c>
      <c r="G14" s="53">
        <f>'DOE25'!K206+'DOE25'!K224+'DOE25'!K242</f>
        <v>1376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117100.19</v>
      </c>
      <c r="D15" s="20">
        <f>'DOE25'!L207+'DOE25'!L225+'DOE25'!L243-F15-G15</f>
        <v>116871.09</v>
      </c>
      <c r="E15" s="244"/>
      <c r="F15" s="256">
        <f>'DOE25'!J207+'DOE25'!J225+'DOE25'!J243</f>
        <v>0</v>
      </c>
      <c r="G15" s="53">
        <f>'DOE25'!K207+'DOE25'!K225+'DOE25'!K243</f>
        <v>229.1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60128.75</v>
      </c>
      <c r="D25" s="244"/>
      <c r="E25" s="244"/>
      <c r="F25" s="259"/>
      <c r="G25" s="257"/>
      <c r="H25" s="258">
        <f>'DOE25'!L259+'DOE25'!L260+'DOE25'!L340+'DOE25'!L341</f>
        <v>60128.75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38420.720000000001</v>
      </c>
      <c r="D29" s="20">
        <f>'DOE25'!L357+'DOE25'!L358+'DOE25'!L359-'DOE25'!I366-F29-G29</f>
        <v>38111.840000000004</v>
      </c>
      <c r="E29" s="244"/>
      <c r="F29" s="256">
        <f>'DOE25'!J357+'DOE25'!J358+'DOE25'!J359</f>
        <v>0</v>
      </c>
      <c r="G29" s="53">
        <f>'DOE25'!K357+'DOE25'!K358+'DOE25'!K359</f>
        <v>308.88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240621.20200000002</v>
      </c>
      <c r="D31" s="20">
        <f>'DOE25'!L289+'DOE25'!L308+'DOE25'!L327+'DOE25'!L332+'DOE25'!L333+'DOE25'!L334-F31-G31</f>
        <v>231240.20200000002</v>
      </c>
      <c r="E31" s="244"/>
      <c r="F31" s="256">
        <f>'DOE25'!J289+'DOE25'!J308+'DOE25'!J327+'DOE25'!J332+'DOE25'!J333+'DOE25'!J334</f>
        <v>7466</v>
      </c>
      <c r="G31" s="53">
        <f>'DOE25'!K289+'DOE25'!K308+'DOE25'!K327+'DOE25'!K332+'DOE25'!K333+'DOE25'!K334</f>
        <v>1915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2004117.7120000005</v>
      </c>
      <c r="E33" s="247">
        <f>SUM(E5:E31)</f>
        <v>55645.470000000023</v>
      </c>
      <c r="F33" s="247">
        <f>SUM(F5:F31)</f>
        <v>19187.239999999998</v>
      </c>
      <c r="G33" s="247">
        <f>SUM(G5:G31)</f>
        <v>10120.08</v>
      </c>
      <c r="H33" s="247">
        <f>SUM(H5:H31)</f>
        <v>60128.75</v>
      </c>
    </row>
    <row r="35" spans="2:8" ht="12" thickBot="1" x14ac:dyDescent="0.25">
      <c r="B35" s="254" t="s">
        <v>847</v>
      </c>
      <c r="D35" s="255">
        <f>E33</f>
        <v>55645.470000000023</v>
      </c>
      <c r="E35" s="250"/>
    </row>
    <row r="36" spans="2:8" ht="12" thickTop="1" x14ac:dyDescent="0.2">
      <c r="B36" t="s">
        <v>815</v>
      </c>
      <c r="D36" s="20">
        <f>D33</f>
        <v>2004117.7120000005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79837.760000000009</v>
      </c>
      <c r="D8" s="95">
        <f>'DOE25'!G9</f>
        <v>3330.82</v>
      </c>
      <c r="E8" s="95">
        <f>'DOE25'!H9</f>
        <v>0</v>
      </c>
      <c r="F8" s="95">
        <f>'DOE25'!I9</f>
        <v>0</v>
      </c>
      <c r="G8" s="95">
        <f>'DOE25'!J9</f>
        <v>214226.93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 t="str">
        <f>'DOE25'!G10</f>
        <v xml:space="preserve"> 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51136.71</v>
      </c>
      <c r="D11" s="95">
        <f>'DOE25'!G12</f>
        <v>0</v>
      </c>
      <c r="E11" s="95">
        <f>'DOE25'!H12</f>
        <v>2051.5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1384.46</v>
      </c>
      <c r="D12" s="95">
        <f>'DOE25'!G13</f>
        <v>6023.18</v>
      </c>
      <c r="E12" s="95">
        <f>'DOE25'!H13</f>
        <v>53188.21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4704.16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132358.93</v>
      </c>
      <c r="D18" s="41">
        <f>SUM(D8:D17)</f>
        <v>14058.16</v>
      </c>
      <c r="E18" s="41">
        <f>SUM(E8:E17)</f>
        <v>55239.71</v>
      </c>
      <c r="F18" s="41">
        <f>SUM(F8:F17)</f>
        <v>0</v>
      </c>
      <c r="G18" s="41">
        <f>SUM(G8:G17)</f>
        <v>214226.93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53188.21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78450.73</v>
      </c>
      <c r="D23" s="95">
        <f>'DOE25'!G24</f>
        <v>297.61</v>
      </c>
      <c r="E23" s="95">
        <f>'DOE25'!H24</f>
        <v>0</v>
      </c>
      <c r="F23" s="95">
        <f>'DOE25'!I24</f>
        <v>0</v>
      </c>
      <c r="G23" s="95">
        <f>'DOE25'!J24</f>
        <v>50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7033.3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5346.06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2051.5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90830.09</v>
      </c>
      <c r="D31" s="41">
        <f>SUM(D21:D30)</f>
        <v>297.61</v>
      </c>
      <c r="E31" s="41">
        <f>SUM(E21:E30)</f>
        <v>55239.71</v>
      </c>
      <c r="F31" s="41">
        <f>SUM(F21:F30)</f>
        <v>0</v>
      </c>
      <c r="G31" s="41">
        <f>SUM(G21:G30)</f>
        <v>50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4704.16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9056.39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214176.93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41528.839999999997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41528.839999999997</v>
      </c>
      <c r="D49" s="41">
        <f>SUM(D34:D48)</f>
        <v>13760.55</v>
      </c>
      <c r="E49" s="41">
        <f>SUM(E34:E48)</f>
        <v>0</v>
      </c>
      <c r="F49" s="41">
        <f>SUM(F34:F48)</f>
        <v>0</v>
      </c>
      <c r="G49" s="41">
        <f>SUM(G34:G48)</f>
        <v>214176.93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132358.93</v>
      </c>
      <c r="D50" s="41">
        <f>D49+D31</f>
        <v>14058.16</v>
      </c>
      <c r="E50" s="41">
        <f>E49+E31</f>
        <v>55239.71</v>
      </c>
      <c r="F50" s="41">
        <f>F49+F31</f>
        <v>0</v>
      </c>
      <c r="G50" s="41">
        <f>G49+G31</f>
        <v>214226.93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867166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338.99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513.52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15702.08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9715.32</v>
      </c>
      <c r="D60" s="95">
        <f>SUM('DOE25'!G97:G109)</f>
        <v>0</v>
      </c>
      <c r="E60" s="95">
        <f>SUM('DOE25'!H97:H109)</f>
        <v>5263.5499999999993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10054.31</v>
      </c>
      <c r="D61" s="130">
        <f>SUM(D56:D60)</f>
        <v>15702.08</v>
      </c>
      <c r="E61" s="130">
        <f>SUM(E56:E60)</f>
        <v>5263.5499999999993</v>
      </c>
      <c r="F61" s="130">
        <f>SUM(F56:F60)</f>
        <v>0</v>
      </c>
      <c r="G61" s="130">
        <f>SUM(G56:G60)</f>
        <v>513.52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877220.31</v>
      </c>
      <c r="D62" s="22">
        <f>D55+D61</f>
        <v>15702.08</v>
      </c>
      <c r="E62" s="22">
        <f>E55+E61</f>
        <v>5263.5499999999993</v>
      </c>
      <c r="F62" s="22">
        <f>F55+F61</f>
        <v>0</v>
      </c>
      <c r="G62" s="22">
        <f>G55+G61</f>
        <v>513.52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550121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212761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476.23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763358.23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14086.25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40814.71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779.22</v>
      </c>
      <c r="D76" s="95">
        <f>SUM('DOE25'!G130:G134)</f>
        <v>1274.79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55680.18</v>
      </c>
      <c r="D77" s="130">
        <f>SUM(D71:D76)</f>
        <v>1274.79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819038.41</v>
      </c>
      <c r="D80" s="130">
        <f>SUM(D78:D79)+D77+D69</f>
        <v>1274.79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16001.35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2803.24</v>
      </c>
      <c r="D87" s="95">
        <f>SUM('DOE25'!G152:G160)</f>
        <v>31191.11</v>
      </c>
      <c r="E87" s="95">
        <f>SUM('DOE25'!H152:H160)</f>
        <v>235357.65000000002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18804.59</v>
      </c>
      <c r="D90" s="131">
        <f>SUM(D84:D89)</f>
        <v>31191.11</v>
      </c>
      <c r="E90" s="131">
        <f>SUM(E84:E89)</f>
        <v>235357.65000000002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20500</v>
      </c>
      <c r="E95" s="95">
        <f>'DOE25'!H178</f>
        <v>0</v>
      </c>
      <c r="F95" s="95">
        <f>'DOE25'!I178</f>
        <v>0</v>
      </c>
      <c r="G95" s="95">
        <f>'DOE25'!J178</f>
        <v>40000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20500</v>
      </c>
      <c r="E102" s="86">
        <f>SUM(E92:E101)</f>
        <v>0</v>
      </c>
      <c r="F102" s="86">
        <f>SUM(F92:F101)</f>
        <v>0</v>
      </c>
      <c r="G102" s="86">
        <f>SUM(G92:G101)</f>
        <v>40000</v>
      </c>
    </row>
    <row r="103" spans="1:7" ht="12.75" thickTop="1" thickBot="1" x14ac:dyDescent="0.25">
      <c r="A103" s="33" t="s">
        <v>765</v>
      </c>
      <c r="C103" s="86">
        <f>C62+C80+C90+C102</f>
        <v>1715063.3100000003</v>
      </c>
      <c r="D103" s="86">
        <f>D62+D80+D90+D102</f>
        <v>68667.98</v>
      </c>
      <c r="E103" s="86">
        <f>E62+E80+E90+E102</f>
        <v>240621.2</v>
      </c>
      <c r="F103" s="86">
        <f>F62+F80+F90+F102</f>
        <v>0</v>
      </c>
      <c r="G103" s="86">
        <f>G62+G80+G102</f>
        <v>40513.519999999997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859119.64999999991</v>
      </c>
      <c r="D108" s="24" t="s">
        <v>289</v>
      </c>
      <c r="E108" s="95">
        <f>('DOE25'!L275)+('DOE25'!L294)+('DOE25'!L313)</f>
        <v>3086.91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310426.21000000002</v>
      </c>
      <c r="D109" s="24" t="s">
        <v>289</v>
      </c>
      <c r="E109" s="95">
        <f>('DOE25'!L276)+('DOE25'!L295)+('DOE25'!L314)</f>
        <v>128761.59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637.42999999999995</v>
      </c>
      <c r="D111" s="24" t="s">
        <v>289</v>
      </c>
      <c r="E111" s="95">
        <f>+('DOE25'!L278)+('DOE25'!L297)+('DOE25'!L316)</f>
        <v>28863.53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1170183.2899999998</v>
      </c>
      <c r="D114" s="86">
        <f>SUM(D108:D113)</f>
        <v>0</v>
      </c>
      <c r="E114" s="86">
        <f>SUM(E108:E113)</f>
        <v>160712.03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148306.39999999997</v>
      </c>
      <c r="D117" s="24" t="s">
        <v>289</v>
      </c>
      <c r="E117" s="95">
        <f>+('DOE25'!L280)+('DOE25'!L299)+('DOE25'!L318)</f>
        <v>15856.939999999999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33185.72</v>
      </c>
      <c r="D118" s="24" t="s">
        <v>289</v>
      </c>
      <c r="E118" s="95">
        <f>+('DOE25'!L281)+('DOE25'!L300)+('DOE25'!L319)</f>
        <v>51665.211999999992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105181.22000000002</v>
      </c>
      <c r="D119" s="24" t="s">
        <v>289</v>
      </c>
      <c r="E119" s="95">
        <f>+('DOE25'!L282)+('DOE25'!L301)+('DOE25'!L320)</f>
        <v>8279.11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116161.47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1715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113410.28999999998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117100.19</v>
      </c>
      <c r="D123" s="24" t="s">
        <v>289</v>
      </c>
      <c r="E123" s="95">
        <f>+('DOE25'!L286)+('DOE25'!L305)+('DOE25'!L324)</f>
        <v>2392.91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68928.13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633345.28999999992</v>
      </c>
      <c r="D127" s="86">
        <f>SUM(D117:D126)</f>
        <v>68928.13</v>
      </c>
      <c r="E127" s="86">
        <f>SUM(E117:E126)</f>
        <v>79909.171999999991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15128.75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50</v>
      </c>
    </row>
    <row r="134" spans="1:7" x14ac:dyDescent="0.2">
      <c r="A134" t="s">
        <v>233</v>
      </c>
      <c r="B134" s="32" t="s">
        <v>234</v>
      </c>
      <c r="C134" s="95">
        <f>'DOE25'!L262</f>
        <v>20500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20159.900000000001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20353.62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-513.52000000000407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120628.74999999999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50</v>
      </c>
    </row>
    <row r="144" spans="1:7" ht="12.75" thickTop="1" thickBot="1" x14ac:dyDescent="0.25">
      <c r="A144" s="33" t="s">
        <v>244</v>
      </c>
      <c r="C144" s="86">
        <f>(C114+C127+C143)</f>
        <v>1924157.3299999996</v>
      </c>
      <c r="D144" s="86">
        <f>(D114+D127+D143)</f>
        <v>68928.13</v>
      </c>
      <c r="E144" s="86">
        <f>(E114+E127+E143)</f>
        <v>240621.20199999999</v>
      </c>
      <c r="F144" s="86">
        <f>(F114+F127+F143)</f>
        <v>0</v>
      </c>
      <c r="G144" s="86">
        <f>(G114+G127+G143)</f>
        <v>50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8/1997</v>
      </c>
      <c r="C151" s="152" t="str">
        <f>'DOE25'!G490</f>
        <v>8.1997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08/2017</v>
      </c>
      <c r="C152" s="152" t="str">
        <f>'DOE25'!G491</f>
        <v>08/2017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249438</v>
      </c>
      <c r="C153" s="137">
        <f>'DOE25'!G492</f>
        <v>748312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5.01</v>
      </c>
      <c r="C154" s="137">
        <f>'DOE25'!G493</f>
        <v>4.9800000000000004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70000</v>
      </c>
      <c r="C155" s="137">
        <f>'DOE25'!G494</f>
        <v>280000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350000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10000</v>
      </c>
      <c r="C157" s="137">
        <f>'DOE25'!G496</f>
        <v>35000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45000</v>
      </c>
    </row>
    <row r="158" spans="1:9" x14ac:dyDescent="0.2">
      <c r="A158" s="22" t="s">
        <v>35</v>
      </c>
      <c r="B158" s="137">
        <f>'DOE25'!F497</f>
        <v>60000</v>
      </c>
      <c r="C158" s="137">
        <f>'DOE25'!G497</f>
        <v>245000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305000</v>
      </c>
    </row>
    <row r="159" spans="1:9" x14ac:dyDescent="0.2">
      <c r="A159" s="22" t="s">
        <v>36</v>
      </c>
      <c r="B159" s="137">
        <f>'DOE25'!F498</f>
        <v>9475</v>
      </c>
      <c r="C159" s="137">
        <f>'DOE25'!G498</f>
        <v>32690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42165</v>
      </c>
    </row>
    <row r="160" spans="1:9" x14ac:dyDescent="0.2">
      <c r="A160" s="22" t="s">
        <v>37</v>
      </c>
      <c r="B160" s="137">
        <f>'DOE25'!F499</f>
        <v>69475</v>
      </c>
      <c r="C160" s="137">
        <f>'DOE25'!G499</f>
        <v>277690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347165</v>
      </c>
    </row>
    <row r="161" spans="1:7" x14ac:dyDescent="0.2">
      <c r="A161" s="22" t="s">
        <v>38</v>
      </c>
      <c r="B161" s="137">
        <f>'DOE25'!F500</f>
        <v>10000</v>
      </c>
      <c r="C161" s="137">
        <f>'DOE25'!G500</f>
        <v>35000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45000</v>
      </c>
    </row>
    <row r="162" spans="1:7" x14ac:dyDescent="0.2">
      <c r="A162" s="22" t="s">
        <v>39</v>
      </c>
      <c r="B162" s="137">
        <f>'DOE25'!F501</f>
        <v>2882.5</v>
      </c>
      <c r="C162" s="137">
        <f>'DOE25'!G501</f>
        <v>9957.5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12840</v>
      </c>
    </row>
    <row r="163" spans="1:7" x14ac:dyDescent="0.2">
      <c r="A163" s="22" t="s">
        <v>246</v>
      </c>
      <c r="B163" s="137">
        <f>'DOE25'!F502</f>
        <v>12882.5</v>
      </c>
      <c r="C163" s="137">
        <f>'DOE25'!G502</f>
        <v>44957.5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57840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52" sqref="H5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Stewartstown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16512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16512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862207</v>
      </c>
      <c r="D10" s="182">
        <f>ROUND((C10/$C$28)*100,1)</f>
        <v>40.799999999999997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439188</v>
      </c>
      <c r="D11" s="182">
        <f>ROUND((C11/$C$28)*100,1)</f>
        <v>20.8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29501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164163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84851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113460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116161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1715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113410</v>
      </c>
      <c r="D20" s="182">
        <f t="shared" si="0"/>
        <v>5.4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119493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15129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53225.919999999998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2112503.92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2112503.92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867166</v>
      </c>
      <c r="D35" s="182">
        <f t="shared" ref="D35:D40" si="1">ROUND((C35/$C$41)*100,1)</f>
        <v>43.6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15831.380000000121</v>
      </c>
      <c r="D36" s="182">
        <f t="shared" si="1"/>
        <v>0.8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763358</v>
      </c>
      <c r="D37" s="182">
        <f t="shared" si="1"/>
        <v>38.4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56955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285353</v>
      </c>
      <c r="D39" s="182">
        <f t="shared" si="1"/>
        <v>14.3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1988663.3800000001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Stewartstown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P39:Z39"/>
    <mergeCell ref="AC39:AM39"/>
    <mergeCell ref="AP39:AZ39"/>
    <mergeCell ref="P40:Z40"/>
    <mergeCell ref="AC40:AM40"/>
    <mergeCell ref="IC40:IM40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HC32:HM32"/>
    <mergeCell ref="DP32:DZ32"/>
    <mergeCell ref="EC32:EM32"/>
    <mergeCell ref="EP32:EZ32"/>
    <mergeCell ref="FP32:FZ32"/>
    <mergeCell ref="GC32:GM32"/>
    <mergeCell ref="GP32:GZ32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CP32:CZ32"/>
    <mergeCell ref="DC32:DM32"/>
    <mergeCell ref="HP32:HZ32"/>
    <mergeCell ref="IC32:IM32"/>
    <mergeCell ref="IP32:IV32"/>
    <mergeCell ref="FC32:FM32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P32:Z32"/>
    <mergeCell ref="AP38:AZ38"/>
    <mergeCell ref="C34:M34"/>
    <mergeCell ref="C35:M35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C42:M42"/>
    <mergeCell ref="C36:M36"/>
    <mergeCell ref="GC29:GM29"/>
    <mergeCell ref="GP29:GZ29"/>
    <mergeCell ref="HC29:HM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C32:M32"/>
    <mergeCell ref="C30:M30"/>
    <mergeCell ref="C31:M31"/>
    <mergeCell ref="P31:Z31"/>
    <mergeCell ref="AC31:AM31"/>
    <mergeCell ref="AP31:AZ31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C13:M13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4:M14"/>
    <mergeCell ref="C15:M15"/>
    <mergeCell ref="A2:E2"/>
    <mergeCell ref="C79:M79"/>
    <mergeCell ref="C62:M62"/>
    <mergeCell ref="C63:M63"/>
    <mergeCell ref="C21:M21"/>
    <mergeCell ref="C22:M22"/>
    <mergeCell ref="C23:M23"/>
    <mergeCell ref="C24:M24"/>
    <mergeCell ref="C66:M66"/>
    <mergeCell ref="C67:M67"/>
    <mergeCell ref="C29:M29"/>
    <mergeCell ref="C25:M25"/>
    <mergeCell ref="C26:M26"/>
    <mergeCell ref="C27:M27"/>
    <mergeCell ref="C28:M28"/>
    <mergeCell ref="C61:M61"/>
    <mergeCell ref="C53:M53"/>
    <mergeCell ref="C54:M54"/>
    <mergeCell ref="C55:M55"/>
    <mergeCell ref="C64:M64"/>
    <mergeCell ref="C65:M65"/>
    <mergeCell ref="C56:M56"/>
    <mergeCell ref="C57:M57"/>
    <mergeCell ref="C59:M59"/>
    <mergeCell ref="C60:M60"/>
    <mergeCell ref="C89:M89"/>
    <mergeCell ref="C90:M90"/>
    <mergeCell ref="C83:M83"/>
    <mergeCell ref="C84:M84"/>
    <mergeCell ref="C85:M85"/>
    <mergeCell ref="C86:M86"/>
    <mergeCell ref="C80:M80"/>
    <mergeCell ref="C81:M81"/>
    <mergeCell ref="C82:M82"/>
    <mergeCell ref="C87:M87"/>
    <mergeCell ref="C88:M88"/>
    <mergeCell ref="C75:M75"/>
    <mergeCell ref="C76:M76"/>
    <mergeCell ref="C77:M77"/>
    <mergeCell ref="C78:M78"/>
    <mergeCell ref="C70:M70"/>
    <mergeCell ref="A72:E72"/>
    <mergeCell ref="C19:M19"/>
    <mergeCell ref="C52:M52"/>
    <mergeCell ref="C50:M50"/>
    <mergeCell ref="C47:M47"/>
    <mergeCell ref="C48:M48"/>
    <mergeCell ref="C49:M49"/>
    <mergeCell ref="C73:M73"/>
    <mergeCell ref="C74:M74"/>
    <mergeCell ref="C68:M68"/>
    <mergeCell ref="C69:M69"/>
    <mergeCell ref="C20:M2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2012-08-29T19:23:43Z</cp:lastPrinted>
  <dcterms:created xsi:type="dcterms:W3CDTF">1997-12-04T19:04:30Z</dcterms:created>
  <dcterms:modified xsi:type="dcterms:W3CDTF">2012-11-21T16:13:42Z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