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390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1" i="12" l="1"/>
  <c r="F196" i="1"/>
  <c r="F471" i="1"/>
  <c r="G206" i="1" l="1"/>
  <c r="F206" i="1"/>
  <c r="K197" i="1"/>
  <c r="G467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L243" i="1"/>
  <c r="F17" i="13"/>
  <c r="G17" i="13"/>
  <c r="D17" i="13" s="1"/>
  <c r="C17" i="13" s="1"/>
  <c r="L250" i="1"/>
  <c r="F18" i="13"/>
  <c r="G18" i="13"/>
  <c r="L251" i="1"/>
  <c r="F19" i="13"/>
  <c r="G19" i="13"/>
  <c r="D19" i="13" s="1"/>
  <c r="C19" i="13" s="1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E123" i="2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27" i="1" s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C130" i="2" s="1"/>
  <c r="L260" i="1"/>
  <c r="C131" i="2" s="1"/>
  <c r="L340" i="1"/>
  <c r="E130" i="2" s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D55" i="2" s="1"/>
  <c r="H59" i="1"/>
  <c r="E55" i="2" s="1"/>
  <c r="I59" i="1"/>
  <c r="F55" i="2" s="1"/>
  <c r="F78" i="1"/>
  <c r="F93" i="1"/>
  <c r="C57" i="2" s="1"/>
  <c r="F110" i="1"/>
  <c r="G110" i="1"/>
  <c r="G111" i="1" s="1"/>
  <c r="H78" i="1"/>
  <c r="E56" i="2" s="1"/>
  <c r="H93" i="1"/>
  <c r="E57" i="2" s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D84" i="2" s="1"/>
  <c r="G161" i="1"/>
  <c r="H146" i="1"/>
  <c r="E84" i="2" s="1"/>
  <c r="H161" i="1"/>
  <c r="I146" i="1"/>
  <c r="F84" i="2" s="1"/>
  <c r="I161" i="1"/>
  <c r="L249" i="1"/>
  <c r="L331" i="1"/>
  <c r="L253" i="1"/>
  <c r="L267" i="1"/>
  <c r="L268" i="1"/>
  <c r="C142" i="2" s="1"/>
  <c r="L348" i="1"/>
  <c r="L349" i="1"/>
  <c r="I664" i="1"/>
  <c r="I669" i="1"/>
  <c r="I668" i="1"/>
  <c r="C6" i="10"/>
  <c r="C5" i="10"/>
  <c r="C42" i="10"/>
  <c r="L373" i="1"/>
  <c r="F129" i="2" s="1"/>
  <c r="L374" i="1"/>
  <c r="L375" i="1"/>
  <c r="L376" i="1"/>
  <c r="L377" i="1"/>
  <c r="L378" i="1"/>
  <c r="L379" i="1"/>
  <c r="B2" i="10"/>
  <c r="L343" i="1"/>
  <c r="E133" i="2" s="1"/>
  <c r="L344" i="1"/>
  <c r="E134" i="2" s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6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C112" i="2"/>
  <c r="E112" i="2"/>
  <c r="C113" i="2"/>
  <c r="D114" i="2"/>
  <c r="F114" i="2"/>
  <c r="G114" i="2"/>
  <c r="E124" i="2"/>
  <c r="F127" i="2"/>
  <c r="G127" i="2"/>
  <c r="C129" i="2"/>
  <c r="E129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G162" i="2" s="1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G622" i="1" s="1"/>
  <c r="H50" i="1"/>
  <c r="G623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L255" i="1" s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G640" i="1" s="1"/>
  <c r="F451" i="1"/>
  <c r="G451" i="1"/>
  <c r="H451" i="1"/>
  <c r="I451" i="1"/>
  <c r="F459" i="1"/>
  <c r="G459" i="1"/>
  <c r="G460" i="1" s="1"/>
  <c r="H639" i="1" s="1"/>
  <c r="H459" i="1"/>
  <c r="H460" i="1" s="1"/>
  <c r="H640" i="1" s="1"/>
  <c r="F460" i="1"/>
  <c r="H638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H626" i="1"/>
  <c r="H627" i="1"/>
  <c r="H628" i="1"/>
  <c r="H629" i="1"/>
  <c r="H630" i="1"/>
  <c r="H631" i="1"/>
  <c r="H632" i="1"/>
  <c r="H634" i="1"/>
  <c r="H635" i="1"/>
  <c r="H636" i="1"/>
  <c r="H637" i="1"/>
  <c r="G642" i="1"/>
  <c r="H642" i="1"/>
  <c r="G643" i="1"/>
  <c r="G644" i="1"/>
  <c r="G651" i="1"/>
  <c r="H651" i="1"/>
  <c r="G652" i="1"/>
  <c r="H652" i="1"/>
  <c r="G653" i="1"/>
  <c r="H653" i="1"/>
  <c r="H654" i="1"/>
  <c r="G163" i="2"/>
  <c r="C26" i="10"/>
  <c r="D12" i="13"/>
  <c r="C12" i="13" s="1"/>
  <c r="D18" i="13"/>
  <c r="C18" i="13" s="1"/>
  <c r="G158" i="2"/>
  <c r="G80" i="2"/>
  <c r="G156" i="2"/>
  <c r="G160" i="2"/>
  <c r="E102" i="2"/>
  <c r="L533" i="1" l="1"/>
  <c r="F433" i="1"/>
  <c r="C124" i="2"/>
  <c r="J433" i="1"/>
  <c r="H433" i="1"/>
  <c r="K433" i="1"/>
  <c r="G133" i="2" s="1"/>
  <c r="G143" i="2" s="1"/>
  <c r="G144" i="2" s="1"/>
  <c r="F660" i="1"/>
  <c r="G661" i="1"/>
  <c r="L613" i="1"/>
  <c r="I662" i="1"/>
  <c r="L543" i="1"/>
  <c r="L528" i="1"/>
  <c r="L523" i="1"/>
  <c r="I459" i="1"/>
  <c r="I460" i="1" s="1"/>
  <c r="H641" i="1" s="1"/>
  <c r="K337" i="1"/>
  <c r="K351" i="1" s="1"/>
  <c r="K499" i="1"/>
  <c r="G102" i="2"/>
  <c r="G61" i="2"/>
  <c r="E119" i="2"/>
  <c r="E117" i="2"/>
  <c r="H661" i="1"/>
  <c r="F77" i="2"/>
  <c r="F80" i="2" s="1"/>
  <c r="L269" i="1"/>
  <c r="E122" i="2"/>
  <c r="E118" i="2"/>
  <c r="J337" i="1"/>
  <c r="J351" i="1" s="1"/>
  <c r="G650" i="1"/>
  <c r="J650" i="1" s="1"/>
  <c r="G649" i="1"/>
  <c r="J649" i="1" s="1"/>
  <c r="C120" i="2"/>
  <c r="F61" i="2"/>
  <c r="F62" i="2" s="1"/>
  <c r="J652" i="1"/>
  <c r="D61" i="2"/>
  <c r="D62" i="2" s="1"/>
  <c r="F49" i="2"/>
  <c r="D31" i="2"/>
  <c r="E49" i="2"/>
  <c r="D49" i="2"/>
  <c r="F544" i="1"/>
  <c r="I433" i="1"/>
  <c r="G433" i="1"/>
  <c r="G407" i="1"/>
  <c r="H644" i="1" s="1"/>
  <c r="J644" i="1" s="1"/>
  <c r="K256" i="1"/>
  <c r="K270" i="1" s="1"/>
  <c r="C102" i="2"/>
  <c r="C90" i="2"/>
  <c r="C69" i="2"/>
  <c r="C18" i="2"/>
  <c r="D90" i="2"/>
  <c r="A40" i="12"/>
  <c r="C25" i="10"/>
  <c r="E121" i="2"/>
  <c r="D126" i="2"/>
  <c r="D127" i="2" s="1"/>
  <c r="D144" i="2" s="1"/>
  <c r="G570" i="1"/>
  <c r="H407" i="1"/>
  <c r="H643" i="1" s="1"/>
  <c r="J643" i="1" s="1"/>
  <c r="I337" i="1"/>
  <c r="I351" i="1" s="1"/>
  <c r="G155" i="2"/>
  <c r="C32" i="10"/>
  <c r="C18" i="10"/>
  <c r="E111" i="2"/>
  <c r="G31" i="13"/>
  <c r="G33" i="13" s="1"/>
  <c r="I368" i="1"/>
  <c r="H633" i="1" s="1"/>
  <c r="D14" i="13"/>
  <c r="C14" i="13" s="1"/>
  <c r="C111" i="2"/>
  <c r="C11" i="10"/>
  <c r="I445" i="1"/>
  <c r="G641" i="1" s="1"/>
  <c r="G660" i="1"/>
  <c r="D29" i="13"/>
  <c r="C29" i="13" s="1"/>
  <c r="H660" i="1"/>
  <c r="L361" i="1"/>
  <c r="L350" i="1"/>
  <c r="E143" i="2"/>
  <c r="L289" i="1"/>
  <c r="F31" i="13"/>
  <c r="C24" i="10"/>
  <c r="A31" i="12"/>
  <c r="E120" i="2"/>
  <c r="E110" i="2"/>
  <c r="C12" i="10"/>
  <c r="J651" i="1"/>
  <c r="I256" i="1"/>
  <c r="I270" i="1" s="1"/>
  <c r="G256" i="1"/>
  <c r="G270" i="1" s="1"/>
  <c r="C17" i="10"/>
  <c r="L246" i="1"/>
  <c r="H659" i="1" s="1"/>
  <c r="F256" i="1"/>
  <c r="F270" i="1" s="1"/>
  <c r="L228" i="1"/>
  <c r="D6" i="13"/>
  <c r="C6" i="13" s="1"/>
  <c r="E13" i="13"/>
  <c r="C13" i="13" s="1"/>
  <c r="D7" i="13"/>
  <c r="C7" i="13" s="1"/>
  <c r="C118" i="2"/>
  <c r="C121" i="2"/>
  <c r="C119" i="2"/>
  <c r="C117" i="2"/>
  <c r="D15" i="13"/>
  <c r="C15" i="13" s="1"/>
  <c r="J648" i="1"/>
  <c r="H646" i="1"/>
  <c r="C123" i="2"/>
  <c r="F661" i="1"/>
  <c r="I661" i="1" s="1"/>
  <c r="C21" i="10"/>
  <c r="C122" i="2"/>
  <c r="C20" i="10"/>
  <c r="C19" i="10"/>
  <c r="E8" i="13"/>
  <c r="C8" i="13" s="1"/>
  <c r="C16" i="10"/>
  <c r="L210" i="1"/>
  <c r="C15" i="10"/>
  <c r="C13" i="10"/>
  <c r="C110" i="2"/>
  <c r="C109" i="2"/>
  <c r="A22" i="12"/>
  <c r="C10" i="10"/>
  <c r="C108" i="2"/>
  <c r="J111" i="1"/>
  <c r="F102" i="2"/>
  <c r="J653" i="1"/>
  <c r="I191" i="1"/>
  <c r="F90" i="2"/>
  <c r="I139" i="1"/>
  <c r="E90" i="2"/>
  <c r="E61" i="2"/>
  <c r="E62" i="2" s="1"/>
  <c r="D102" i="2"/>
  <c r="G168" i="1"/>
  <c r="G139" i="1"/>
  <c r="F191" i="1"/>
  <c r="C77" i="2"/>
  <c r="C80" i="2" s="1"/>
  <c r="F139" i="1"/>
  <c r="C61" i="2"/>
  <c r="C62" i="2" s="1"/>
  <c r="F31" i="2"/>
  <c r="I51" i="1"/>
  <c r="H619" i="1" s="1"/>
  <c r="J619" i="1" s="1"/>
  <c r="F18" i="2"/>
  <c r="E31" i="2"/>
  <c r="H51" i="1"/>
  <c r="H618" i="1" s="1"/>
  <c r="J618" i="1" s="1"/>
  <c r="E18" i="2"/>
  <c r="G51" i="1"/>
  <c r="H617" i="1" s="1"/>
  <c r="J617" i="1" s="1"/>
  <c r="D18" i="2"/>
  <c r="C31" i="2"/>
  <c r="F51" i="1"/>
  <c r="H616" i="1" s="1"/>
  <c r="J616" i="1" s="1"/>
  <c r="E77" i="2"/>
  <c r="E80" i="2" s="1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L433" i="1"/>
  <c r="G637" i="1" s="1"/>
  <c r="J637" i="1" s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J551" i="1"/>
  <c r="H551" i="1"/>
  <c r="C29" i="10"/>
  <c r="H139" i="1"/>
  <c r="L400" i="1"/>
  <c r="C138" i="2" s="1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F551" i="1"/>
  <c r="C35" i="10"/>
  <c r="L308" i="1"/>
  <c r="D5" i="13"/>
  <c r="E16" i="13"/>
  <c r="C49" i="2"/>
  <c r="J654" i="1"/>
  <c r="L569" i="1"/>
  <c r="I570" i="1"/>
  <c r="I544" i="1"/>
  <c r="J635" i="1"/>
  <c r="G36" i="2"/>
  <c r="G49" i="2" s="1"/>
  <c r="G50" i="2" s="1"/>
  <c r="J50" i="1"/>
  <c r="L564" i="1"/>
  <c r="G544" i="1"/>
  <c r="H544" i="1"/>
  <c r="K550" i="1"/>
  <c r="F143" i="2"/>
  <c r="F144" i="2" s="1"/>
  <c r="K551" i="1" l="1"/>
  <c r="L544" i="1"/>
  <c r="J641" i="1"/>
  <c r="E114" i="2"/>
  <c r="L570" i="1"/>
  <c r="J647" i="1"/>
  <c r="E127" i="2"/>
  <c r="F50" i="2"/>
  <c r="D50" i="2"/>
  <c r="E50" i="2"/>
  <c r="D103" i="2"/>
  <c r="J192" i="1"/>
  <c r="G645" i="1" s="1"/>
  <c r="I660" i="1"/>
  <c r="H663" i="1"/>
  <c r="H671" i="1" s="1"/>
  <c r="C27" i="10"/>
  <c r="C28" i="10" s="1"/>
  <c r="D19" i="10" s="1"/>
  <c r="G634" i="1"/>
  <c r="J634" i="1" s="1"/>
  <c r="J270" i="1"/>
  <c r="L256" i="1"/>
  <c r="L270" i="1" s="1"/>
  <c r="G631" i="1" s="1"/>
  <c r="J631" i="1" s="1"/>
  <c r="C127" i="2"/>
  <c r="J646" i="1"/>
  <c r="F659" i="1"/>
  <c r="F663" i="1" s="1"/>
  <c r="F671" i="1" s="1"/>
  <c r="C4" i="10" s="1"/>
  <c r="C114" i="2"/>
  <c r="F103" i="2"/>
  <c r="I192" i="1"/>
  <c r="G629" i="1" s="1"/>
  <c r="J629" i="1" s="1"/>
  <c r="E103" i="2"/>
  <c r="C39" i="10"/>
  <c r="H192" i="1"/>
  <c r="G628" i="1" s="1"/>
  <c r="J628" i="1" s="1"/>
  <c r="G192" i="1"/>
  <c r="G627" i="1" s="1"/>
  <c r="J627" i="1" s="1"/>
  <c r="C103" i="2"/>
  <c r="C38" i="10"/>
  <c r="C36" i="10"/>
  <c r="F192" i="1"/>
  <c r="G626" i="1" s="1"/>
  <c r="J626" i="1" s="1"/>
  <c r="C50" i="2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25" i="1"/>
  <c r="J51" i="1"/>
  <c r="H620" i="1" s="1"/>
  <c r="J620" i="1" s="1"/>
  <c r="E144" i="2" l="1"/>
  <c r="G630" i="1"/>
  <c r="J630" i="1" s="1"/>
  <c r="H666" i="1"/>
  <c r="F666" i="1"/>
  <c r="C144" i="2"/>
  <c r="C30" i="10"/>
  <c r="D27" i="10"/>
  <c r="D15" i="10"/>
  <c r="D26" i="10"/>
  <c r="D18" i="10"/>
  <c r="D11" i="10"/>
  <c r="D20" i="10"/>
  <c r="D23" i="10"/>
  <c r="D22" i="10"/>
  <c r="D24" i="10"/>
  <c r="D17" i="10"/>
  <c r="D25" i="10"/>
  <c r="D16" i="10"/>
  <c r="D13" i="10"/>
  <c r="D12" i="10"/>
  <c r="D21" i="10"/>
  <c r="D10" i="10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28" i="10"/>
  <c r="D35" i="10"/>
  <c r="D37" i="10"/>
  <c r="D40" i="10"/>
  <c r="D36" i="10"/>
  <c r="D38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<sst xmlns="http://schemas.openxmlformats.org/spreadsheetml/2006/main" count="3945" uniqueCount="912">
  <si>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</si>
  <si>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</si>
  <si>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</si>
  <si>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</si>
  <si>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</si>
  <si>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</si>
  <si>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</si>
  <si>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</si>
  <si>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</si>
  <si>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</si>
  <si>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</si>
  <si>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</si>
  <si>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</si>
  <si>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</si>
  <si>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</si>
  <si>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</si>
  <si>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</si>
  <si>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</si>
  <si>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</si>
  <si>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</si>
  <si>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</si>
  <si>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</si>
  <si>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</si>
  <si>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</si>
  <si>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</si>
  <si>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</si>
  <si>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</si>
  <si>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</si>
  <si>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</si>
  <si>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</si>
  <si>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</si>
  <si>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</si>
  <si>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</si>
  <si>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</si>
  <si>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</si>
  <si>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</si>
  <si>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</si>
  <si>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</si>
  <si>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</si>
  <si>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</si>
  <si>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</si>
  <si>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</si>
  <si>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</si>
  <si>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</si>
  <si>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</si>
  <si>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</si>
  <si>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</si>
  <si>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</si>
  <si>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</si>
  <si>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</si>
  <si>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</si>
  <si>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</si>
  <si>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</si>
  <si>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</si>
  <si>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</si>
  <si>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</si>
  <si>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</si>
  <si>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</si>
  <si>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</si>
  <si>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</si>
  <si>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</si>
  <si>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</si>
  <si>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</si>
  <si>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</si>
  <si>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</si>
  <si>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</si>
  <si>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</si>
  <si>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</si>
  <si>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</si>
  <si>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</si>
  <si>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</si>
  <si>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</si>
  <si>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</si>
  <si>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</si>
  <si>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</si>
  <si>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</si>
  <si>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</si>
  <si>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</si>
  <si>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</si>
  <si>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</si>
  <si>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</si>
  <si>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</si>
  <si>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</si>
  <si>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</si>
  <si>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</si>
  <si>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</si>
  <si>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</si>
  <si>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</si>
  <si>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</si>
  <si>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</si>
  <si>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</si>
  <si>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</si>
  <si>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</si>
  <si>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</si>
  <si>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</si>
  <si>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</si>
  <si>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</si>
  <si>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</si>
  <si>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</si>
  <si>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</si>
  <si>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</si>
  <si>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</si>
  <si>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</si>
  <si>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</si>
  <si>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</si>
  <si>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</si>
  <si>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</si>
  <si>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</si>
  <si>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</si>
  <si>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</si>
  <si>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</si>
  <si>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</si>
  <si>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</si>
  <si>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</si>
  <si>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</si>
  <si>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</si>
  <si>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</si>
  <si>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</si>
  <si>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</si>
  <si>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</si>
  <si>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</si>
  <si>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</si>
  <si>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</si>
  <si>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</si>
  <si>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</si>
  <si>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</si>
  <si>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</si>
  <si>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</si>
  <si>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</si>
  <si>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</si>
  <si>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</si>
  <si>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</si>
  <si>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</si>
  <si>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</si>
  <si>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</si>
  <si>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</si>
  <si>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</si>
  <si>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</si>
  <si>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</si>
  <si>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</si>
  <si>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</si>
  <si>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</si>
  <si>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</si>
  <si>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</si>
  <si>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</si>
  <si>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</si>
  <si>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</si>
  <si>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</si>
  <si>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</si>
  <si>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</si>
  <si>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</si>
  <si>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</si>
  <si>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</si>
  <si>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</si>
  <si>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</si>
  <si>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</si>
  <si>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</si>
  <si>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</si>
  <si>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</si>
  <si>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</si>
  <si>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</si>
  <si>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</si>
  <si>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</si>
  <si>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</si>
  <si>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</si>
  <si>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</si>
  <si>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</si>
  <si>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</si>
  <si>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</si>
  <si>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</si>
  <si>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</si>
  <si>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</si>
  <si>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</si>
  <si>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</si>
  <si>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</si>
  <si>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</si>
  <si>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</si>
  <si>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</si>
  <si>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</si>
  <si>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</si>
  <si>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</si>
  <si>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</si>
  <si>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</si>
  <si>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</si>
  <si>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</si>
  <si>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</si>
  <si>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</si>
  <si>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</si>
  <si>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</si>
  <si>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</si>
  <si>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</si>
  <si>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</si>
  <si>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</si>
  <si>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</si>
  <si>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</si>
  <si>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</si>
  <si>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</si>
  <si>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</si>
  <si>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</si>
  <si>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</si>
  <si>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</si>
  <si>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</si>
  <si>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</si>
  <si>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</si>
  <si>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</si>
  <si>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</si>
  <si>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</si>
  <si>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</si>
  <si>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</si>
  <si>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</si>
  <si>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</si>
  <si>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</si>
  <si>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</si>
  <si>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</si>
  <si>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</si>
  <si>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</si>
  <si>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</si>
  <si>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</si>
  <si>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</si>
  <si>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</si>
  <si>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</si>
  <si>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</si>
  <si>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</si>
  <si>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</si>
  <si>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</si>
  <si>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</si>
  <si>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</si>
  <si>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</si>
  <si>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</si>
  <si>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</si>
  <si>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</si>
  <si>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</si>
  <si>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</si>
  <si>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</si>
  <si>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</si>
  <si>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</si>
  <si>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</si>
  <si>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</si>
  <si>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</si>
  <si>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</si>
  <si>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</si>
  <si>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</si>
  <si>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</si>
  <si>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</si>
  <si>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</si>
  <si>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</si>
  <si>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</si>
  <si>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</si>
  <si>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</si>
  <si>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</si>
  <si>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</si>
  <si>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</si>
  <si>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</si>
  <si>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</si>
  <si>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</si>
  <si>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</si>
  <si>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</si>
  <si>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</si>
  <si>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</si>
  <si>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</si>
  <si>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</si>
  <si>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</si>
  <si>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</si>
  <si>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</si>
  <si>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</si>
  <si>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</si>
  <si>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</si>
  <si>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</si>
  <si>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</si>
  <si>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</si>
  <si>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</si>
  <si>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</si>
  <si>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</si>
  <si>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</si>
  <si>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</si>
  <si>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</si>
  <si>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</si>
  <si>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</si>
  <si>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</si>
  <si>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</si>
  <si>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</si>
  <si>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</si>
  <si>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</si>
  <si>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</si>
  <si>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</si>
  <si>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</si>
  <si>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</si>
  <si>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</si>
  <si>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</si>
  <si>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</si>
  <si>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</si>
  <si>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</si>
  <si>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</si>
  <si>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</si>
  <si>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</si>
  <si>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</si>
  <si>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</si>
  <si>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</si>
  <si>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</si>
  <si>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</si>
  <si>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</si>
  <si>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</si>
  <si>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</si>
  <si>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</si>
  <si>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</si>
  <si>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</si>
  <si>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</si>
  <si>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</si>
  <si>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</si>
  <si>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</si>
  <si>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</si>
  <si>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</si>
  <si>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</si>
  <si>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</si>
  <si>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</si>
  <si>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</si>
  <si>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</si>
  <si>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</si>
  <si>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</si>
  <si>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</si>
  <si>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</si>
  <si>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</si>
  <si>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</si>
  <si>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</si>
  <si>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</si>
  <si>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</si>
  <si>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</si>
  <si>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</si>
  <si>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</si>
  <si>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</si>
  <si>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</si>
  <si>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</si>
  <si>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</si>
  <si>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</si>
  <si>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</si>
  <si>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</si>
  <si>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</si>
  <si>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</si>
  <si>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</si>
  <si>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</si>
  <si>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</si>
  <si>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</si>
  <si>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</si>
  <si>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</si>
  <si>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</si>
  <si>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</si>
  <si>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</si>
  <si>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</si>
  <si>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</si>
  <si>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</si>
  <si>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</si>
  <si>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</si>
  <si>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</si>
  <si>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</si>
  <si>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</si>
  <si>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</si>
  <si>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</si>
  <si>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</si>
  <si>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</si>
  <si>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</si>
  <si>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</si>
  <si>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</si>
  <si>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</si>
  <si>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</si>
  <si>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</si>
  <si>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</si>
  <si>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</si>
  <si>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</si>
  <si>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</si>
  <si>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</si>
  <si>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</si>
  <si>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</si>
  <si>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</si>
  <si>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</si>
  <si>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</si>
  <si>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</si>
  <si>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</si>
  <si>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</si>
  <si>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</si>
  <si>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</si>
  <si>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</si>
  <si>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</si>
  <si>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</si>
  <si>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</si>
  <si>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</si>
  <si>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</si>
  <si>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</si>
  <si>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</si>
  <si>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</si>
  <si>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</si>
  <si>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</si>
  <si>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</si>
  <si>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</si>
  <si>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</si>
  <si>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</si>
  <si>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</si>
  <si>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</si>
  <si>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</si>
  <si>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</si>
  <si>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</si>
  <si>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</si>
  <si>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</si>
  <si>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</si>
  <si>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</si>
  <si>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</si>
  <si>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</si>
  <si>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</si>
  <si>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</si>
  <si>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</si>
  <si>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</si>
  <si>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</si>
  <si>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</si>
  <si>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</si>
  <si>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</si>
  <si>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</si>
  <si>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</si>
  <si>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</si>
  <si>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</si>
  <si>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</si>
  <si>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</si>
  <si>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</si>
  <si>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</si>
  <si>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</si>
  <si>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</si>
  <si>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</si>
  <si>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</si>
  <si>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</si>
  <si>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</si>
  <si>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</si>
  <si>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</si>
  <si>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</si>
  <si>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</si>
  <si>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</si>
  <si>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</si>
  <si>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</si>
  <si>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</si>
  <si>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</si>
  <si>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</si>
  <si>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</si>
  <si>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</si>
  <si>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</si>
  <si>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</si>
  <si>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</si>
  <si>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</si>
  <si>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</si>
  <si>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</si>
  <si>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</si>
  <si>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</si>
  <si>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</si>
  <si>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</si>
  <si>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</si>
  <si>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</si>
  <si>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</si>
  <si>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</si>
  <si>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</si>
  <si>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</si>
  <si>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</si>
  <si>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</si>
  <si>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</si>
  <si>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</si>
  <si>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</si>
  <si>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</si>
  <si>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</si>
  <si>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</si>
  <si>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</si>
  <si>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</si>
  <si>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</si>
  <si>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</si>
  <si>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</si>
  <si>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</si>
  <si>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</si>
  <si>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</si>
  <si>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</si>
  <si>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</si>
  <si>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</si>
  <si>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</si>
  <si>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</si>
  <si>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</si>
  <si>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</si>
  <si>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</si>
  <si>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</si>
  <si>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</si>
  <si>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</si>
  <si>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</si>
  <si>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</si>
  <si>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</si>
  <si>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</si>
  <si>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</si>
  <si>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</si>
  <si>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</si>
  <si>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</si>
  <si>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</si>
  <si>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</si>
  <si>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</si>
  <si>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</si>
  <si>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</si>
  <si>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</si>
  <si>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</si>
  <si>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</si>
  <si>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</si>
  <si>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</si>
  <si>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</si>
  <si>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</si>
  <si>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</si>
  <si>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</si>
  <si>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</si>
  <si>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</si>
  <si>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</si>
  <si>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</si>
  <si>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</si>
  <si>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</si>
  <si>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</si>
  <si>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</si>
  <si>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</si>
  <si>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</si>
  <si>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</si>
  <si>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</si>
  <si>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</si>
  <si>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</si>
  <si>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</si>
  <si>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</si>
  <si>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</si>
  <si>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</si>
  <si>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</si>
  <si>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</si>
  <si>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</si>
  <si>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</si>
  <si>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</si>
  <si>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</si>
  <si>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</si>
  <si>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</si>
  <si>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</si>
  <si>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</si>
  <si>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</si>
  <si>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</si>
  <si>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</si>
  <si>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</si>
  <si>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</si>
  <si>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</si>
  <si>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</si>
  <si>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</si>
  <si>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</si>
  <si>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</si>
  <si>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</si>
  <si>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</si>
  <si>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</si>
  <si>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</si>
  <si>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</si>
  <si>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</si>
  <si>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</si>
  <si>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</si>
  <si>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</si>
  <si>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</si>
  <si>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</si>
  <si>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</si>
  <si>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</si>
  <si>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</si>
  <si>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</si>
  <si>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</si>
  <si>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</si>
  <si>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</si>
  <si>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</si>
  <si>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</si>
  <si>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</si>
  <si>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</si>
  <si>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</si>
  <si>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</si>
  <si>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</si>
  <si>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</si>
  <si>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</si>
  <si>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</si>
  <si>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</si>
  <si>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</si>
  <si>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</si>
  <si>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</si>
  <si>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</si>
  <si>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</si>
  <si>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</si>
  <si>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</si>
  <si>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</si>
  <si>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</si>
  <si>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</si>
  <si>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</si>
  <si>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</si>
  <si>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</si>
  <si>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</si>
  <si>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</si>
  <si>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</si>
  <si>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</si>
  <si>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</si>
  <si>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</si>
  <si>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</si>
  <si>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</si>
  <si>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</si>
  <si>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</si>
  <si>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</si>
  <si>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</si>
  <si>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</si>
  <si>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</si>
  <si>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</si>
  <si>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</si>
  <si>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</si>
  <si>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</si>
  <si>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</si>
  <si>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</si>
  <si>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</si>
  <si>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</si>
  <si>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</si>
  <si>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</si>
  <si>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</si>
  <si>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</si>
  <si>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</si>
  <si>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</si>
  <si>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</si>
  <si>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</si>
  <si>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</si>
  <si>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</si>
  <si>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</si>
  <si>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</si>
  <si>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</si>
  <si>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</si>
  <si>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</si>
  <si>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</si>
  <si>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</si>
  <si>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</si>
  <si>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</si>
  <si>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</si>
  <si>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</si>
  <si>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</si>
  <si>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</si>
  <si>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</si>
  <si>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</si>
  <si>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</si>
  <si>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</si>
  <si>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</si>
  <si>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</si>
  <si>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</si>
  <si>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</si>
  <si>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</si>
  <si>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</si>
  <si>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</si>
  <si>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</si>
  <si>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</si>
  <si>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</si>
  <si>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</si>
  <si>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</si>
  <si>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</si>
  <si>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</si>
  <si>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</si>
  <si>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</si>
  <si>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</si>
  <si>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</si>
  <si>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</si>
  <si>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</si>
  <si>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</si>
  <si>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</si>
  <si>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</si>
  <si>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</si>
  <si>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</si>
  <si>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</si>
  <si>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</si>
  <si>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</si>
  <si>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</si>
  <si>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</si>
  <si>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</si>
  <si>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</si>
  <si>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</si>
  <si>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</si>
  <si>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</si>
  <si>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</si>
  <si>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</si>
  <si>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</si>
  <si>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</si>
  <si>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</si>
  <si>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</si>
  <si>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</si>
  <si>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</si>
  <si>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</si>
  <si>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</si>
  <si>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</si>
  <si>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</si>
  <si>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</si>
  <si>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</si>
  <si>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</si>
  <si>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</si>
  <si>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</si>
  <si>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</si>
  <si>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</si>
  <si>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</si>
  <si>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</si>
  <si>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</si>
  <si>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</si>
  <si>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</si>
  <si>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</si>
  <si>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</si>
  <si>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</si>
  <si>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</si>
  <si>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</si>
  <si>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</si>
  <si>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</si>
  <si>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</si>
  <si>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</si>
  <si>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</si>
  <si>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</si>
  <si>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</si>
  <si>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</si>
  <si>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</si>
  <si>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</si>
  <si>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</si>
  <si>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</si>
  <si>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</si>
  <si>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</si>
  <si>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</si>
  <si>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</si>
  <si>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</si>
  <si>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</si>
  <si>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</si>
  <si>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</si>
  <si>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</si>
  <si>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</si>
  <si>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</si>
  <si>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</si>
  <si>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</si>
  <si>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</si>
  <si>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</si>
  <si>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</si>
  <si>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</si>
  <si>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</si>
  <si>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</si>
  <si>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</si>
  <si>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</si>
  <si>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</si>
  <si>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</si>
  <si>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</si>
  <si>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</si>
  <si>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</si>
  <si>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</si>
  <si>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</si>
  <si>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</si>
  <si>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</si>
  <si>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</si>
  <si>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</si>
  <si>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</si>
  <si>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</si>
  <si>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</si>
  <si>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</si>
  <si>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</si>
  <si>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</si>
  <si>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</si>
  <si>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</si>
  <si>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</si>
  <si>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</si>
  <si>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</si>
  <si>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</si>
  <si>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</si>
  <si>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</si>
  <si>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</si>
  <si>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</si>
  <si>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</si>
  <si>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</si>
  <si>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</si>
  <si>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</si>
  <si>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</si>
  <si>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</si>
  <si>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</si>
  <si>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</si>
  <si>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</si>
  <si>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</si>
  <si>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</si>
  <si>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</si>
  <si>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</si>
  <si>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</si>
  <si>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</si>
  <si>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</si>
  <si>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</si>
  <si>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</si>
  <si>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</si>
  <si>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</si>
  <si>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</si>
  <si>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</si>
  <si>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</si>
  <si>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</si>
  <si>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</si>
  <si>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</si>
  <si>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</si>
  <si>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</si>
  <si>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</si>
  <si>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</si>
  <si>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</si>
  <si>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</si>
  <si>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</si>
  <si>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</si>
  <si>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</si>
  <si>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</si>
  <si>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</si>
  <si>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</si>
  <si>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</si>
  <si>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</si>
  <si>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</si>
  <si>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</si>
  <si>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</si>
  <si>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</si>
  <si>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</si>
  <si>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</si>
  <si>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</si>
  <si>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</si>
  <si>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</si>
  <si>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</si>
  <si>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</si>
  <si>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</si>
  <si>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</si>
  <si>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</si>
  <si>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</si>
  <si>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</si>
  <si>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</si>
  <si>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</si>
  <si>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</si>
  <si>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</si>
  <si>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</si>
  <si>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</si>
  <si>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</si>
  <si>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</si>
  <si>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</si>
  <si>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</si>
  <si>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</si>
  <si>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</si>
  <si>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</si>
  <si>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</si>
  <si>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</si>
  <si>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</si>
  <si>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</si>
  <si>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</si>
  <si>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</si>
  <si>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</si>
  <si>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</si>
  <si>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</si>
  <si>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</si>
  <si>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</si>
  <si>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</si>
  <si>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</si>
  <si>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</si>
  <si>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</si>
  <si>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</si>
  <si>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</si>
  <si>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</si>
  <si>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</si>
  <si>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</si>
  <si>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</si>
  <si>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</si>
  <si>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</si>
  <si>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</si>
  <si>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</si>
  <si>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</si>
  <si>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</si>
  <si>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</si>
  <si>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</si>
  <si>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</si>
  <si>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</si>
  <si>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</si>
  <si>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</si>
  <si>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</si>
  <si>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</si>
  <si>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</si>
  <si>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</si>
  <si>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</si>
  <si>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</si>
  <si>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</si>
  <si>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</si>
  <si>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</si>
  <si>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</si>
  <si>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</si>
  <si>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</si>
  <si>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</si>
  <si>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</si>
  <si>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</si>
  <si>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</si>
  <si>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</si>
  <si>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</si>
  <si>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</si>
  <si>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</si>
  <si>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</si>
  <si>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</si>
  <si>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</si>
  <si>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</si>
  <si>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</si>
  <si>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</si>
  <si>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</si>
  <si>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</si>
  <si>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</si>
  <si>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</si>
  <si>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</si>
  <si>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</si>
  <si>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</si>
  <si>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</si>
  <si>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</si>
  <si>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</si>
  <si>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</si>
  <si>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</si>
  <si>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</si>
  <si>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</si>
  <si>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</si>
  <si>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</si>
  <si>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</si>
  <si>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</si>
  <si>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</si>
  <si>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</si>
  <si>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</si>
  <si>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</si>
  <si>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</si>
  <si>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STODDARD SCHOOL DISTRICT</t>
  </si>
  <si>
    <t>PAYABLES NOT PAID</t>
  </si>
  <si>
    <t>TRANSFER FROM FEDERAL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</si>
</sst>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503</v>
      </c>
      <c r="C2" s="21">
        <v>503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202235.55</v>
      </c>
      <c r="G9" s="18">
        <v>-478.51</v>
      </c>
      <c r="H9" s="18">
        <v>-3573.77</v>
      </c>
      <c r="I9" s="18">
        <v>0</v>
      </c>
      <c r="J9" s="67">
        <f>SUM(I438)</f>
        <v>136202.67000000001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859.97</v>
      </c>
      <c r="G13" s="18">
        <v>478.51</v>
      </c>
      <c r="H13" s="18">
        <v>4249.74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203095.52</v>
      </c>
      <c r="G19" s="41">
        <f>SUM(G9:G18)</f>
        <v>0</v>
      </c>
      <c r="H19" s="41">
        <f>SUM(H9:H18)</f>
        <v>675.9699999999998</v>
      </c>
      <c r="I19" s="41">
        <f>SUM(I9:I18)</f>
        <v>0</v>
      </c>
      <c r="J19" s="41">
        <f>SUM(J9:J18)</f>
        <v>136202.67000000001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11165.25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3795.72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14960.97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675.97</v>
      </c>
      <c r="I47" s="18">
        <v>0</v>
      </c>
      <c r="J47" s="13">
        <f>SUM(I458)</f>
        <v>136202.67000000001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188134.55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188134.55</v>
      </c>
      <c r="G50" s="41">
        <f>SUM(G35:G49)</f>
        <v>0</v>
      </c>
      <c r="H50" s="41">
        <f>SUM(H35:H49)</f>
        <v>675.97</v>
      </c>
      <c r="I50" s="41">
        <f>SUM(I35:I49)</f>
        <v>0</v>
      </c>
      <c r="J50" s="41">
        <f>SUM(J35:J49)</f>
        <v>136202.67000000001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203095.52</v>
      </c>
      <c r="G51" s="41">
        <f>G50+G32</f>
        <v>0</v>
      </c>
      <c r="H51" s="41">
        <f>H50+H32</f>
        <v>675.97</v>
      </c>
      <c r="I51" s="41">
        <f>I50+I32</f>
        <v>0</v>
      </c>
      <c r="J51" s="41">
        <f>J50+J32</f>
        <v>136202.67000000001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1797067</v>
      </c>
      <c r="G56" s="18">
        <v>18305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1797067</v>
      </c>
      <c r="G59" s="41">
        <f>SUM(G56:G58)</f>
        <v>18305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3.31</v>
      </c>
      <c r="G95" s="18">
        <v>0</v>
      </c>
      <c r="H95" s="18">
        <v>0</v>
      </c>
      <c r="I95" s="18">
        <v>0</v>
      </c>
      <c r="J95" s="18">
        <v>1753.03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8203.5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14791.4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200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500</v>
      </c>
      <c r="I101" s="18">
        <v>0</v>
      </c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207.04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253.16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15454.91</v>
      </c>
      <c r="G110" s="41">
        <f>SUM(G95:G109)</f>
        <v>8203.5</v>
      </c>
      <c r="H110" s="41">
        <f>SUM(H95:H109)</f>
        <v>500</v>
      </c>
      <c r="I110" s="41">
        <f>SUM(I95:I109)</f>
        <v>0</v>
      </c>
      <c r="J110" s="41">
        <f>SUM(J95:J109)</f>
        <v>1753.03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1812521.91</v>
      </c>
      <c r="G111" s="41">
        <f>G59+G110</f>
        <v>26508.5</v>
      </c>
      <c r="H111" s="41">
        <f>H59+H78+H93+H110</f>
        <v>500</v>
      </c>
      <c r="I111" s="41">
        <f>I59+I110</f>
        <v>0</v>
      </c>
      <c r="J111" s="41">
        <f>J59+J110</f>
        <v>1753.03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633383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397.11</v>
      </c>
      <c r="G119" s="18">
        <v>0</v>
      </c>
      <c r="H119" s="18">
        <v>0</v>
      </c>
      <c r="I119" s="18">
        <v>0</v>
      </c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633780.11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24293.040000000001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116.48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24293.040000000001</v>
      </c>
      <c r="G135" s="41">
        <f>SUM(G122:G134)</f>
        <v>116.48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658073.15</v>
      </c>
      <c r="G139" s="41">
        <f>G120+SUM(G135:G136)</f>
        <v>116.48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4772.37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15955.23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2142.29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36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29896.14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13448.29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29896.14</v>
      </c>
      <c r="G161" s="41">
        <f>SUM(G149:G160)</f>
        <v>2142.29</v>
      </c>
      <c r="H161" s="41">
        <f>SUM(H149:H160)</f>
        <v>34211.89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29896.14</v>
      </c>
      <c r="G168" s="41">
        <f>G146+G161+SUM(G162:G167)</f>
        <v>2142.29</v>
      </c>
      <c r="H168" s="41">
        <f>H146+H161+SUM(H162:H167)</f>
        <v>34211.89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4923.79</v>
      </c>
      <c r="H178" s="18">
        <v>0</v>
      </c>
      <c r="I178" s="18">
        <v>0</v>
      </c>
      <c r="J178" s="18">
        <v>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4923.79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4923.79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2500491.2000000002</v>
      </c>
      <c r="G192" s="47">
        <f>G111+G139+G168+G191</f>
        <v>33691.06</v>
      </c>
      <c r="H192" s="47">
        <f>H111+H139+H168+H191</f>
        <v>34711.89</v>
      </c>
      <c r="I192" s="47">
        <f>I111+I139+I168+I191</f>
        <v>0</v>
      </c>
      <c r="J192" s="47">
        <f>J111+J139+J191</f>
        <v>1753.03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183675.55</f>
        <v>183675.55</v>
      </c>
      <c r="G196" s="18">
        <v>57427.02</v>
      </c>
      <c r="H196" s="18">
        <v>2600.16</v>
      </c>
      <c r="I196" s="18">
        <v>17607.189999999999</v>
      </c>
      <c r="J196" s="18">
        <v>0</v>
      </c>
      <c r="K196" s="18">
        <v>4003.22</v>
      </c>
      <c r="L196" s="19">
        <f>SUM(F196:K196)</f>
        <v>265313.13999999996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53114.04</v>
      </c>
      <c r="G197" s="18">
        <v>20393.439999999999</v>
      </c>
      <c r="H197" s="18">
        <v>78160.81</v>
      </c>
      <c r="I197" s="18">
        <v>759.9</v>
      </c>
      <c r="J197" s="18">
        <v>28.5</v>
      </c>
      <c r="K197" s="18">
        <f>3310.06+11165.25</f>
        <v>14475.31</v>
      </c>
      <c r="L197" s="19">
        <f>SUM(F197:K197)</f>
        <v>166931.99999999997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13728.58</v>
      </c>
      <c r="G201" s="18">
        <v>1050.3699999999999</v>
      </c>
      <c r="H201" s="18">
        <v>15600.23</v>
      </c>
      <c r="I201" s="18">
        <v>561.82000000000005</v>
      </c>
      <c r="J201" s="18">
        <v>0</v>
      </c>
      <c r="K201" s="18">
        <v>0</v>
      </c>
      <c r="L201" s="19">
        <f t="shared" ref="L201:L207" si="0">SUM(F201:K201)</f>
        <v>30941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3799.3</v>
      </c>
      <c r="G202" s="18">
        <v>1190.6300000000001</v>
      </c>
      <c r="H202" s="18">
        <v>1338.53</v>
      </c>
      <c r="I202" s="18">
        <v>6641.87</v>
      </c>
      <c r="J202" s="18">
        <v>15680.37</v>
      </c>
      <c r="K202" s="18">
        <v>1740</v>
      </c>
      <c r="L202" s="19">
        <f t="shared" si="0"/>
        <v>30390.7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1366.57</v>
      </c>
      <c r="G203" s="18">
        <v>149.18</v>
      </c>
      <c r="H203" s="18">
        <v>65215.38</v>
      </c>
      <c r="I203" s="18">
        <v>1008.39</v>
      </c>
      <c r="J203" s="18">
        <v>0</v>
      </c>
      <c r="K203" s="18">
        <v>1032.28</v>
      </c>
      <c r="L203" s="19">
        <f t="shared" si="0"/>
        <v>68771.8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61329.78</v>
      </c>
      <c r="G204" s="18">
        <v>4612.33</v>
      </c>
      <c r="H204" s="18">
        <v>3374.57</v>
      </c>
      <c r="I204" s="18">
        <v>712.07</v>
      </c>
      <c r="J204" s="18">
        <v>0</v>
      </c>
      <c r="K204" s="18">
        <v>310</v>
      </c>
      <c r="L204" s="19">
        <f t="shared" si="0"/>
        <v>70338.750000000015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45287.53+3249.48</f>
        <v>48537.01</v>
      </c>
      <c r="G206" s="18">
        <f>19589.3+546.24</f>
        <v>20135.54</v>
      </c>
      <c r="H206" s="18">
        <v>39989.589999999997</v>
      </c>
      <c r="I206" s="18">
        <v>28228.59</v>
      </c>
      <c r="J206" s="18">
        <v>5165.57</v>
      </c>
      <c r="K206" s="18">
        <v>0</v>
      </c>
      <c r="L206" s="19">
        <f t="shared" si="0"/>
        <v>142056.30000000002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152605.19</v>
      </c>
      <c r="I207" s="18">
        <v>0</v>
      </c>
      <c r="J207" s="18">
        <v>0</v>
      </c>
      <c r="K207" s="18">
        <v>0</v>
      </c>
      <c r="L207" s="19">
        <f t="shared" si="0"/>
        <v>152605.19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365550.82999999996</v>
      </c>
      <c r="G210" s="41">
        <f t="shared" si="1"/>
        <v>104958.50999999998</v>
      </c>
      <c r="H210" s="41">
        <f t="shared" si="1"/>
        <v>358884.45999999996</v>
      </c>
      <c r="I210" s="41">
        <f t="shared" si="1"/>
        <v>55519.83</v>
      </c>
      <c r="J210" s="41">
        <f t="shared" si="1"/>
        <v>20874.440000000002</v>
      </c>
      <c r="K210" s="41">
        <f t="shared" si="1"/>
        <v>21560.809999999998</v>
      </c>
      <c r="L210" s="41">
        <f t="shared" si="1"/>
        <v>927348.87999999989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308396.87</v>
      </c>
      <c r="I214" s="18">
        <v>0</v>
      </c>
      <c r="J214" s="18">
        <v>0</v>
      </c>
      <c r="K214" s="18">
        <v>0</v>
      </c>
      <c r="L214" s="19">
        <f>SUM(F214:K214)</f>
        <v>308396.87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286775.77</v>
      </c>
      <c r="I215" s="18">
        <v>0</v>
      </c>
      <c r="J215" s="18">
        <v>0</v>
      </c>
      <c r="K215" s="18">
        <v>0</v>
      </c>
      <c r="L215" s="19">
        <f>SUM(F215:K215)</f>
        <v>286775.77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162</v>
      </c>
      <c r="G221" s="18">
        <v>12.36</v>
      </c>
      <c r="H221" s="18">
        <v>21814.95</v>
      </c>
      <c r="I221" s="18">
        <v>14.83</v>
      </c>
      <c r="J221" s="18">
        <v>0</v>
      </c>
      <c r="K221" s="18">
        <v>337.05</v>
      </c>
      <c r="L221" s="19">
        <f t="shared" si="2"/>
        <v>22341.190000000002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8365.43</v>
      </c>
      <c r="I225" s="18">
        <v>0</v>
      </c>
      <c r="J225" s="18">
        <v>0</v>
      </c>
      <c r="K225" s="18">
        <v>0</v>
      </c>
      <c r="L225" s="19">
        <f t="shared" si="2"/>
        <v>8365.43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162</v>
      </c>
      <c r="G228" s="41">
        <f>SUM(G214:G227)</f>
        <v>12.36</v>
      </c>
      <c r="H228" s="41">
        <f>SUM(H214:H227)</f>
        <v>625353.02</v>
      </c>
      <c r="I228" s="41">
        <f>SUM(I214:I227)</f>
        <v>14.83</v>
      </c>
      <c r="J228" s="41">
        <f>SUM(J214:J227)</f>
        <v>0</v>
      </c>
      <c r="K228" s="41">
        <f t="shared" si="3"/>
        <v>337.05</v>
      </c>
      <c r="L228" s="41">
        <f t="shared" si="3"/>
        <v>625879.26000000013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498015.3</v>
      </c>
      <c r="I232" s="18">
        <v>0</v>
      </c>
      <c r="J232" s="18">
        <v>0</v>
      </c>
      <c r="K232" s="18">
        <v>0</v>
      </c>
      <c r="L232" s="19">
        <f>SUM(F232:K232)</f>
        <v>498015.3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192222</v>
      </c>
      <c r="I233" s="18">
        <v>0</v>
      </c>
      <c r="J233" s="18">
        <v>0</v>
      </c>
      <c r="K233" s="18">
        <v>0</v>
      </c>
      <c r="L233" s="19">
        <f>SUM(F233:K233)</f>
        <v>192222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380</v>
      </c>
      <c r="G239" s="18">
        <v>29.07</v>
      </c>
      <c r="H239" s="18">
        <v>51327.99</v>
      </c>
      <c r="I239" s="18">
        <v>34.9</v>
      </c>
      <c r="J239" s="18">
        <v>0</v>
      </c>
      <c r="K239" s="18">
        <v>793.05</v>
      </c>
      <c r="L239" s="19">
        <f t="shared" si="4"/>
        <v>52565.01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19752.62</v>
      </c>
      <c r="I243" s="18">
        <v>0</v>
      </c>
      <c r="J243" s="18">
        <v>0</v>
      </c>
      <c r="K243" s="18">
        <v>0</v>
      </c>
      <c r="L243" s="19">
        <f t="shared" si="4"/>
        <v>19752.62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380</v>
      </c>
      <c r="G246" s="41">
        <f t="shared" si="5"/>
        <v>29.07</v>
      </c>
      <c r="H246" s="41">
        <f t="shared" si="5"/>
        <v>761317.91</v>
      </c>
      <c r="I246" s="41">
        <f t="shared" si="5"/>
        <v>34.9</v>
      </c>
      <c r="J246" s="41">
        <f t="shared" si="5"/>
        <v>0</v>
      </c>
      <c r="K246" s="41">
        <f t="shared" si="5"/>
        <v>793.05</v>
      </c>
      <c r="L246" s="41">
        <f t="shared" si="5"/>
        <v>762554.93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366092.82999999996</v>
      </c>
      <c r="G256" s="41">
        <f t="shared" si="8"/>
        <v>104999.93999999999</v>
      </c>
      <c r="H256" s="41">
        <f t="shared" si="8"/>
        <v>1745555.3900000001</v>
      </c>
      <c r="I256" s="41">
        <f t="shared" si="8"/>
        <v>55569.560000000005</v>
      </c>
      <c r="J256" s="41">
        <f t="shared" si="8"/>
        <v>20874.440000000002</v>
      </c>
      <c r="K256" s="41">
        <f t="shared" si="8"/>
        <v>22690.909999999996</v>
      </c>
      <c r="L256" s="41">
        <f t="shared" si="8"/>
        <v>2315783.0700000003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4923.79</v>
      </c>
      <c r="L262" s="19">
        <f>SUM(F262:K262)</f>
        <v>4923.79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4923.79</v>
      </c>
      <c r="L269" s="41">
        <f t="shared" si="9"/>
        <v>4923.79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366092.82999999996</v>
      </c>
      <c r="G270" s="42">
        <f t="shared" si="11"/>
        <v>104999.93999999999</v>
      </c>
      <c r="H270" s="42">
        <f t="shared" si="11"/>
        <v>1745555.3900000001</v>
      </c>
      <c r="I270" s="42">
        <f t="shared" si="11"/>
        <v>55569.560000000005</v>
      </c>
      <c r="J270" s="42">
        <f t="shared" si="11"/>
        <v>20874.440000000002</v>
      </c>
      <c r="K270" s="42">
        <f t="shared" si="11"/>
        <v>27614.699999999997</v>
      </c>
      <c r="L270" s="42">
        <f t="shared" si="11"/>
        <v>2320706.8600000003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15068.29</v>
      </c>
      <c r="G275" s="18">
        <v>272.86</v>
      </c>
      <c r="H275" s="18">
        <v>0</v>
      </c>
      <c r="I275" s="18">
        <v>574.03</v>
      </c>
      <c r="J275" s="18">
        <v>0</v>
      </c>
      <c r="K275" s="18">
        <v>12188.14</v>
      </c>
      <c r="L275" s="19">
        <f>SUM(F275:K275)</f>
        <v>28103.32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36</v>
      </c>
      <c r="J276" s="18">
        <v>0</v>
      </c>
      <c r="K276" s="18">
        <v>0</v>
      </c>
      <c r="L276" s="19">
        <f>SUM(F276:K276)</f>
        <v>36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355</v>
      </c>
      <c r="G281" s="18">
        <v>26.69</v>
      </c>
      <c r="H281" s="18">
        <v>1370.85</v>
      </c>
      <c r="I281" s="18">
        <v>50</v>
      </c>
      <c r="J281" s="18">
        <v>0</v>
      </c>
      <c r="K281" s="18">
        <v>0</v>
      </c>
      <c r="L281" s="19">
        <f t="shared" si="12"/>
        <v>1802.54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71.69</v>
      </c>
      <c r="L282" s="19">
        <f t="shared" si="12"/>
        <v>71.69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15423.29</v>
      </c>
      <c r="G289" s="42">
        <f t="shared" si="13"/>
        <v>299.55</v>
      </c>
      <c r="H289" s="42">
        <f t="shared" si="13"/>
        <v>1370.85</v>
      </c>
      <c r="I289" s="42">
        <f t="shared" si="13"/>
        <v>660.03</v>
      </c>
      <c r="J289" s="42">
        <f t="shared" si="13"/>
        <v>0</v>
      </c>
      <c r="K289" s="42">
        <f t="shared" si="13"/>
        <v>12259.83</v>
      </c>
      <c r="L289" s="41">
        <f t="shared" si="13"/>
        <v>30013.55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>
        <v>0</v>
      </c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15423.29</v>
      </c>
      <c r="G337" s="41">
        <f t="shared" si="20"/>
        <v>299.55</v>
      </c>
      <c r="H337" s="41">
        <f t="shared" si="20"/>
        <v>1370.85</v>
      </c>
      <c r="I337" s="41">
        <f t="shared" si="20"/>
        <v>660.03</v>
      </c>
      <c r="J337" s="41">
        <f t="shared" si="20"/>
        <v>0</v>
      </c>
      <c r="K337" s="41">
        <f t="shared" si="20"/>
        <v>12259.83</v>
      </c>
      <c r="L337" s="41">
        <f t="shared" si="20"/>
        <v>30013.55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4772.07</v>
      </c>
      <c r="L349" s="19">
        <f t="shared" si="21"/>
        <v>4772.07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4772.07</v>
      </c>
      <c r="L350" s="41">
        <f>SUM(L340:L349)</f>
        <v>4772.07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15423.29</v>
      </c>
      <c r="G351" s="41">
        <f>G337</f>
        <v>299.55</v>
      </c>
      <c r="H351" s="41">
        <f>H337</f>
        <v>1370.85</v>
      </c>
      <c r="I351" s="41">
        <f>I337</f>
        <v>660.03</v>
      </c>
      <c r="J351" s="41">
        <f>J337</f>
        <v>0</v>
      </c>
      <c r="K351" s="47">
        <f>K337+K350</f>
        <v>17031.900000000001</v>
      </c>
      <c r="L351" s="41">
        <f>L337+L350</f>
        <v>34785.619999999995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6870.85</v>
      </c>
      <c r="G357" s="18">
        <v>525.62</v>
      </c>
      <c r="H357" s="18">
        <v>23776.07</v>
      </c>
      <c r="I357" s="18">
        <v>4123.58</v>
      </c>
      <c r="J357" s="18">
        <v>0</v>
      </c>
      <c r="K357" s="18">
        <v>0</v>
      </c>
      <c r="L357" s="13">
        <f>SUM(F357:K357)</f>
        <v>35296.120000000003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6870.85</v>
      </c>
      <c r="G361" s="47">
        <f t="shared" si="22"/>
        <v>525.62</v>
      </c>
      <c r="H361" s="47">
        <f t="shared" si="22"/>
        <v>23776.07</v>
      </c>
      <c r="I361" s="47">
        <f t="shared" si="22"/>
        <v>4123.58</v>
      </c>
      <c r="J361" s="47">
        <f t="shared" si="22"/>
        <v>0</v>
      </c>
      <c r="K361" s="47">
        <f t="shared" si="22"/>
        <v>0</v>
      </c>
      <c r="L361" s="47">
        <f t="shared" si="22"/>
        <v>35296.120000000003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4123.58</v>
      </c>
      <c r="G367" s="63"/>
      <c r="H367" s="63"/>
      <c r="I367" s="56">
        <f>SUM(F367:H367)</f>
        <v>4123.58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4123.58</v>
      </c>
      <c r="G368" s="47">
        <f>SUM(G366:G367)</f>
        <v>0</v>
      </c>
      <c r="H368" s="47">
        <f>SUM(H366:H367)</f>
        <v>0</v>
      </c>
      <c r="I368" s="47">
        <f>SUM(I366:I367)</f>
        <v>4123.58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0</v>
      </c>
      <c r="H395" s="18">
        <v>1069.3499999999999</v>
      </c>
      <c r="I395" s="18"/>
      <c r="J395" s="24" t="s">
        <v>289</v>
      </c>
      <c r="K395" s="24" t="s">
        <v>289</v>
      </c>
      <c r="L395" s="56">
        <f t="shared" si="26"/>
        <v>1069.3499999999999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683.68</v>
      </c>
      <c r="I397" s="18"/>
      <c r="J397" s="24" t="s">
        <v>289</v>
      </c>
      <c r="K397" s="24" t="s">
        <v>289</v>
      </c>
      <c r="L397" s="56">
        <f t="shared" si="26"/>
        <v>683.68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1753.0299999999997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1753.0299999999997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1753.0299999999997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1753.0299999999997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136202.67000000001</v>
      </c>
      <c r="H438" s="18"/>
      <c r="I438" s="56">
        <f t="shared" ref="I438:I444" si="33">SUM(F438:H438)</f>
        <v>136202.67000000001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136202.67000000001</v>
      </c>
      <c r="H445" s="13">
        <f>SUM(H438:H444)</f>
        <v>0</v>
      </c>
      <c r="I445" s="13">
        <f>SUM(I438:I444)</f>
        <v>136202.67000000001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136202.67000000001</v>
      </c>
      <c r="H458" s="18"/>
      <c r="I458" s="56">
        <f t="shared" si="34"/>
        <v>136202.67000000001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136202.67000000001</v>
      </c>
      <c r="H459" s="83">
        <f>SUM(H453:H458)</f>
        <v>0</v>
      </c>
      <c r="I459" s="83">
        <f>SUM(I453:I458)</f>
        <v>136202.67000000001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136202.67000000001</v>
      </c>
      <c r="H460" s="42">
        <f>H451+H459</f>
        <v>0</v>
      </c>
      <c r="I460" s="42">
        <f>I451+I459</f>
        <v>136202.67000000001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8349.91</v>
      </c>
      <c r="G464" s="18">
        <v>1605.06</v>
      </c>
      <c r="H464" s="18">
        <v>750</v>
      </c>
      <c r="I464" s="18"/>
      <c r="J464" s="18">
        <v>134449.64000000001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2500491.2000000002</v>
      </c>
      <c r="G467" s="18">
        <f>28767.27+4923.79</f>
        <v>33691.06</v>
      </c>
      <c r="H467" s="18">
        <v>34711.89</v>
      </c>
      <c r="I467" s="18">
        <v>0</v>
      </c>
      <c r="J467" s="18">
        <v>1753.03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0.3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2500491.5</v>
      </c>
      <c r="G469" s="53">
        <f>SUM(G467:G468)</f>
        <v>33691.06</v>
      </c>
      <c r="H469" s="53">
        <f>SUM(H467:H468)</f>
        <v>34711.89</v>
      </c>
      <c r="I469" s="53">
        <f>SUM(I467:I468)</f>
        <v>0</v>
      </c>
      <c r="J469" s="53">
        <f>SUM(J467:J468)</f>
        <v>1753.03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2315783.07+4923.79</f>
        <v>2320706.86</v>
      </c>
      <c r="G471" s="18">
        <v>35296.120000000003</v>
      </c>
      <c r="H471" s="18">
        <v>34785.620000000003</v>
      </c>
      <c r="I471" s="18">
        <v>0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>
        <v>0.3</v>
      </c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2320706.86</v>
      </c>
      <c r="G473" s="53">
        <f>SUM(G471:G472)</f>
        <v>35296.120000000003</v>
      </c>
      <c r="H473" s="53">
        <f>SUM(H471:H472)</f>
        <v>34785.920000000006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188134.55000000028</v>
      </c>
      <c r="G475" s="53">
        <f>(G464+G469)- G473</f>
        <v>0</v>
      </c>
      <c r="H475" s="53">
        <f>(H464+H469)- H473</f>
        <v>675.96999999999389</v>
      </c>
      <c r="I475" s="53">
        <f>(I464+I469)- I473</f>
        <v>0</v>
      </c>
      <c r="J475" s="53">
        <f>(J464+J469)- J473</f>
        <v>136202.67000000001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 t="s">
        <v>911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 t="s">
        <v>910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0</v>
      </c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53114.04</v>
      </c>
      <c r="G520" s="18">
        <v>20393.439999999999</v>
      </c>
      <c r="H520" s="18">
        <v>78160.81</v>
      </c>
      <c r="I520" s="18">
        <v>795.9</v>
      </c>
      <c r="J520" s="18">
        <v>28.5</v>
      </c>
      <c r="K520" s="18">
        <v>3310.06</v>
      </c>
      <c r="L520" s="88">
        <f>SUM(F520:K520)</f>
        <v>155802.74999999997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286775.77</v>
      </c>
      <c r="I521" s="18">
        <v>0</v>
      </c>
      <c r="J521" s="18"/>
      <c r="K521" s="18">
        <v>0</v>
      </c>
      <c r="L521" s="88">
        <f>SUM(F521:K521)</f>
        <v>286775.77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0</v>
      </c>
      <c r="G522" s="18">
        <v>0</v>
      </c>
      <c r="H522" s="18">
        <v>192222</v>
      </c>
      <c r="I522" s="18">
        <v>0</v>
      </c>
      <c r="J522" s="18">
        <v>0</v>
      </c>
      <c r="K522" s="18">
        <v>0</v>
      </c>
      <c r="L522" s="88">
        <f>SUM(F522:K522)</f>
        <v>192222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53114.04</v>
      </c>
      <c r="G523" s="108">
        <f t="shared" ref="G523:L523" si="36">SUM(G520:G522)</f>
        <v>20393.439999999999</v>
      </c>
      <c r="H523" s="108">
        <f t="shared" si="36"/>
        <v>557158.58000000007</v>
      </c>
      <c r="I523" s="108">
        <f t="shared" si="36"/>
        <v>795.9</v>
      </c>
      <c r="J523" s="108">
        <f t="shared" si="36"/>
        <v>28.5</v>
      </c>
      <c r="K523" s="108">
        <f t="shared" si="36"/>
        <v>3310.06</v>
      </c>
      <c r="L523" s="89">
        <f t="shared" si="36"/>
        <v>634800.52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10000</v>
      </c>
      <c r="G525" s="18">
        <v>765.13</v>
      </c>
      <c r="H525" s="18">
        <v>15600.23</v>
      </c>
      <c r="I525" s="18">
        <v>273.83</v>
      </c>
      <c r="J525" s="18">
        <v>0</v>
      </c>
      <c r="K525" s="18">
        <v>0</v>
      </c>
      <c r="L525" s="88">
        <f>SUM(F525:K525)</f>
        <v>26639.190000000002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10000</v>
      </c>
      <c r="G528" s="89">
        <f t="shared" ref="G528:L528" si="37">SUM(G525:G527)</f>
        <v>765.13</v>
      </c>
      <c r="H528" s="89">
        <f t="shared" si="37"/>
        <v>15600.23</v>
      </c>
      <c r="I528" s="89">
        <f t="shared" si="37"/>
        <v>273.83</v>
      </c>
      <c r="J528" s="89">
        <f t="shared" si="37"/>
        <v>0</v>
      </c>
      <c r="K528" s="89">
        <f t="shared" si="37"/>
        <v>0</v>
      </c>
      <c r="L528" s="89">
        <f t="shared" si="37"/>
        <v>26639.190000000002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14096.01</v>
      </c>
      <c r="G530" s="18">
        <v>4825.34</v>
      </c>
      <c r="H530" s="18"/>
      <c r="I530" s="18"/>
      <c r="J530" s="18"/>
      <c r="K530" s="18">
        <v>118.37</v>
      </c>
      <c r="L530" s="88">
        <f>SUM(F530:K530)</f>
        <v>19039.719999999998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14096.01</v>
      </c>
      <c r="G533" s="89">
        <f t="shared" ref="G533:L533" si="38">SUM(G530:G532)</f>
        <v>4825.34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118.37</v>
      </c>
      <c r="L533" s="89">
        <f t="shared" si="38"/>
        <v>19039.719999999998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1263.71</v>
      </c>
      <c r="I535" s="18"/>
      <c r="J535" s="18"/>
      <c r="K535" s="18"/>
      <c r="L535" s="88">
        <f>SUM(F535:K535)</f>
        <v>1263.71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442.34</v>
      </c>
      <c r="I536" s="18"/>
      <c r="J536" s="18"/>
      <c r="K536" s="18"/>
      <c r="L536" s="88">
        <f>SUM(F536:K536)</f>
        <v>442.34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1040.8</v>
      </c>
      <c r="I537" s="18"/>
      <c r="J537" s="18"/>
      <c r="K537" s="18"/>
      <c r="L537" s="88">
        <f>SUM(F537:K537)</f>
        <v>1040.8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2746.85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2746.85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109821.84</v>
      </c>
      <c r="I540" s="18"/>
      <c r="J540" s="18"/>
      <c r="K540" s="18"/>
      <c r="L540" s="88">
        <f>SUM(F540:K540)</f>
        <v>109821.84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0</v>
      </c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69.260000000000005</v>
      </c>
      <c r="I542" s="18"/>
      <c r="J542" s="18"/>
      <c r="K542" s="18"/>
      <c r="L542" s="88">
        <f>SUM(F542:K542)</f>
        <v>69.260000000000005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109891.09999999999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109891.09999999999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77210.05</v>
      </c>
      <c r="G544" s="89">
        <f t="shared" ref="G544:L544" si="41">G523+G528+G533+G538+G543</f>
        <v>25983.91</v>
      </c>
      <c r="H544" s="89">
        <f t="shared" si="41"/>
        <v>685396.76</v>
      </c>
      <c r="I544" s="89">
        <f t="shared" si="41"/>
        <v>1069.73</v>
      </c>
      <c r="J544" s="89">
        <f t="shared" si="41"/>
        <v>28.5</v>
      </c>
      <c r="K544" s="89">
        <f t="shared" si="41"/>
        <v>3428.43</v>
      </c>
      <c r="L544" s="89">
        <f t="shared" si="41"/>
        <v>793117.37999999989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155802.74999999997</v>
      </c>
      <c r="G548" s="87">
        <f>L525</f>
        <v>26639.190000000002</v>
      </c>
      <c r="H548" s="87">
        <f>L530</f>
        <v>19039.719999999998</v>
      </c>
      <c r="I548" s="87">
        <f>L535</f>
        <v>1263.71</v>
      </c>
      <c r="J548" s="87">
        <f>L540</f>
        <v>109821.84</v>
      </c>
      <c r="K548" s="87">
        <f>SUM(F548:J548)</f>
        <v>312567.20999999996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286775.77</v>
      </c>
      <c r="G549" s="87">
        <f>L526</f>
        <v>0</v>
      </c>
      <c r="H549" s="87">
        <f>L531</f>
        <v>0</v>
      </c>
      <c r="I549" s="87">
        <f>L536</f>
        <v>442.34</v>
      </c>
      <c r="J549" s="87">
        <f>L541</f>
        <v>0</v>
      </c>
      <c r="K549" s="87">
        <f>SUM(F549:J549)</f>
        <v>287218.11000000004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192222</v>
      </c>
      <c r="G550" s="87">
        <f>L527</f>
        <v>0</v>
      </c>
      <c r="H550" s="87">
        <f>L532</f>
        <v>0</v>
      </c>
      <c r="I550" s="87">
        <f>L537</f>
        <v>1040.8</v>
      </c>
      <c r="J550" s="87">
        <f>L542</f>
        <v>69.260000000000005</v>
      </c>
      <c r="K550" s="87">
        <f>SUM(F550:J550)</f>
        <v>193332.06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634800.52</v>
      </c>
      <c r="G551" s="89">
        <f t="shared" si="42"/>
        <v>26639.190000000002</v>
      </c>
      <c r="H551" s="89">
        <f t="shared" si="42"/>
        <v>19039.719999999998</v>
      </c>
      <c r="I551" s="89">
        <f t="shared" si="42"/>
        <v>2746.85</v>
      </c>
      <c r="J551" s="89">
        <f t="shared" si="42"/>
        <v>109891.09999999999</v>
      </c>
      <c r="K551" s="89">
        <f t="shared" si="42"/>
        <v>793117.38000000012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/>
      <c r="K562" s="18">
        <v>0</v>
      </c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308396.87</v>
      </c>
      <c r="H574" s="18">
        <v>498015.3</v>
      </c>
      <c r="I574" s="87">
        <f>SUM(F574:H574)</f>
        <v>806412.16999999993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77240.009999999995</v>
      </c>
      <c r="G578" s="18">
        <v>225453.19</v>
      </c>
      <c r="H578" s="18">
        <v>192222</v>
      </c>
      <c r="I578" s="87">
        <f t="shared" si="47"/>
        <v>494915.2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0</v>
      </c>
      <c r="G581" s="18">
        <v>61322.58</v>
      </c>
      <c r="H581" s="18">
        <v>0</v>
      </c>
      <c r="I581" s="87">
        <f t="shared" si="47"/>
        <v>61322.58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42783.35</v>
      </c>
      <c r="I590" s="18">
        <v>8365.43</v>
      </c>
      <c r="J590" s="18">
        <v>19683.36</v>
      </c>
      <c r="K590" s="104">
        <f t="shared" ref="K590:K596" si="48">SUM(H590:J590)</f>
        <v>70832.14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109821.84</v>
      </c>
      <c r="I591" s="18">
        <v>0</v>
      </c>
      <c r="J591" s="18">
        <v>69.260000000000005</v>
      </c>
      <c r="K591" s="104">
        <f t="shared" si="48"/>
        <v>109891.09999999999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152605.19</v>
      </c>
      <c r="I597" s="108">
        <f>SUM(I590:I596)</f>
        <v>8365.43</v>
      </c>
      <c r="J597" s="108">
        <f>SUM(J590:J596)</f>
        <v>19752.62</v>
      </c>
      <c r="K597" s="108">
        <f>SUM(K590:K596)</f>
        <v>180723.24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20874.439999999999</v>
      </c>
      <c r="I603" s="18">
        <v>0</v>
      </c>
      <c r="J603" s="18">
        <v>0</v>
      </c>
      <c r="K603" s="104">
        <f>SUM(H603:J603)</f>
        <v>20874.439999999999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20874.439999999999</v>
      </c>
      <c r="I604" s="108">
        <f>SUM(I601:I603)</f>
        <v>0</v>
      </c>
      <c r="J604" s="108">
        <f>SUM(J601:J603)</f>
        <v>0</v>
      </c>
      <c r="K604" s="108">
        <f>SUM(K601:K603)</f>
        <v>20874.439999999999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4525.6000000000004</v>
      </c>
      <c r="G610" s="18">
        <v>345.54</v>
      </c>
      <c r="H610" s="18">
        <v>0</v>
      </c>
      <c r="I610" s="18"/>
      <c r="J610" s="18"/>
      <c r="K610" s="18"/>
      <c r="L610" s="88">
        <f>SUM(F610:K610)</f>
        <v>4871.1400000000003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4525.6000000000004</v>
      </c>
      <c r="G613" s="108">
        <f t="shared" si="49"/>
        <v>345.54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4871.1400000000003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203095.52</v>
      </c>
      <c r="H616" s="109">
        <f>SUM(F51)</f>
        <v>203095.52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675.9699999999998</v>
      </c>
      <c r="H618" s="109">
        <f>SUM(H51)</f>
        <v>675.97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136202.67000000001</v>
      </c>
      <c r="H620" s="109">
        <f>SUM(J51)</f>
        <v>136202.67000000001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188134.55</v>
      </c>
      <c r="H621" s="109">
        <f>F475</f>
        <v>188134.55000000028</v>
      </c>
      <c r="I621" s="121" t="s">
        <v>101</v>
      </c>
      <c r="J621" s="109">
        <f t="shared" ref="J621:J654" si="50">G621-H621</f>
        <v>-2.9103830456733704E-10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675.97</v>
      </c>
      <c r="H623" s="109">
        <f>H475</f>
        <v>675.96999999999389</v>
      </c>
      <c r="I623" s="121" t="s">
        <v>103</v>
      </c>
      <c r="J623" s="109">
        <f t="shared" si="50"/>
        <v>6.1390892369672656E-12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136202.67000000001</v>
      </c>
      <c r="H625" s="109">
        <f>J475</f>
        <v>136202.67000000001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2500491.2000000002</v>
      </c>
      <c r="H626" s="104">
        <f>SUM(F467)</f>
        <v>2500491.2000000002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33691.06</v>
      </c>
      <c r="H627" s="104">
        <f>SUM(G467)</f>
        <v>33691.06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34711.89</v>
      </c>
      <c r="H628" s="104">
        <f>SUM(H467)</f>
        <v>34711.89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1753.03</v>
      </c>
      <c r="H630" s="104">
        <f>SUM(J467)</f>
        <v>1753.03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2320706.8600000003</v>
      </c>
      <c r="H631" s="104">
        <f>SUM(F471)</f>
        <v>2320706.86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34785.619999999995</v>
      </c>
      <c r="H632" s="104">
        <f>SUM(H471)</f>
        <v>34785.620000000003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4123.58</v>
      </c>
      <c r="H633" s="104">
        <f>I368</f>
        <v>4123.58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35296.120000000003</v>
      </c>
      <c r="H634" s="104">
        <f>SUM(G471)</f>
        <v>35296.120000000003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1753.0299999999997</v>
      </c>
      <c r="H636" s="164">
        <f>SUM(J467)</f>
        <v>1753.03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136202.67000000001</v>
      </c>
      <c r="H639" s="104">
        <f>SUM(G460)</f>
        <v>136202.67000000001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136202.67000000001</v>
      </c>
      <c r="H641" s="104">
        <f>SUM(I460)</f>
        <v>136202.67000000001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1753.03</v>
      </c>
      <c r="H643" s="104">
        <f>H407</f>
        <v>1753.0299999999997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1753.03</v>
      </c>
      <c r="H645" s="104">
        <f>L407</f>
        <v>1753.0299999999997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180723.24</v>
      </c>
      <c r="H646" s="104">
        <f>L207+L225+L243</f>
        <v>180723.24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20874.439999999999</v>
      </c>
      <c r="H647" s="104">
        <f>(J256+J337)-(J254+J335)</f>
        <v>20874.440000000002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152605.19</v>
      </c>
      <c r="H648" s="104">
        <f>H597</f>
        <v>152605.19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8365.43</v>
      </c>
      <c r="H649" s="104">
        <f>I597</f>
        <v>8365.43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19752.62</v>
      </c>
      <c r="H650" s="104">
        <f>J597</f>
        <v>19752.62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4923.79</v>
      </c>
      <c r="H651" s="104">
        <f>K262+K344</f>
        <v>4923.79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992658.54999999993</v>
      </c>
      <c r="G659" s="19">
        <f>(L228+L308+L358)</f>
        <v>625879.26000000013</v>
      </c>
      <c r="H659" s="19">
        <f>(L246+L327+L359)</f>
        <v>762554.93</v>
      </c>
      <c r="I659" s="19">
        <f>SUM(F659:H659)</f>
        <v>2381092.7400000002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8203.5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8203.5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152605.19</v>
      </c>
      <c r="G661" s="19">
        <f>(L225+L305)-(J225+J305)</f>
        <v>8365.43</v>
      </c>
      <c r="H661" s="19">
        <f>(L243+L324)-(J243+J324)</f>
        <v>19752.62</v>
      </c>
      <c r="I661" s="19">
        <f>SUM(F661:H661)</f>
        <v>180723.24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102985.59</v>
      </c>
      <c r="G662" s="200">
        <f>SUM(G574:G586)+SUM(I601:I603)+L611</f>
        <v>595172.64</v>
      </c>
      <c r="H662" s="200">
        <f>SUM(H574:H586)+SUM(J601:J603)+L612</f>
        <v>690237.3</v>
      </c>
      <c r="I662" s="19">
        <f>SUM(F662:H662)</f>
        <v>1388395.53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728864.2699999999</v>
      </c>
      <c r="G663" s="19">
        <f>G659-SUM(G660:G662)</f>
        <v>22341.190000000061</v>
      </c>
      <c r="H663" s="19">
        <f>H659-SUM(H660:H662)</f>
        <v>52565.010000000009</v>
      </c>
      <c r="I663" s="19">
        <f>I659-SUM(I660:I662)</f>
        <v>803770.4700000002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57.09</v>
      </c>
      <c r="G664" s="249"/>
      <c r="H664" s="249"/>
      <c r="I664" s="19">
        <f>SUM(F664:H664)</f>
        <v>57.09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12766.93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14079.01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>
        <v>-22341.19</v>
      </c>
      <c r="H668" s="18">
        <v>-52565.01</v>
      </c>
      <c r="I668" s="19">
        <f>SUM(F668:H668)</f>
        <v>-74906.2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12766.93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12766.93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85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2" sqref="C12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STODDARD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198743.84</v>
      </c>
      <c r="C9" s="230">
        <f>'DOE25'!G196+'DOE25'!G214+'DOE25'!G232+'DOE25'!G275+'DOE25'!G294+'DOE25'!G313</f>
        <v>57699.88</v>
      </c>
    </row>
    <row r="10" spans="1:3">
      <c r="A10" t="s">
        <v>779</v>
      </c>
      <c r="B10" s="241">
        <v>144911.89000000001</v>
      </c>
      <c r="C10" s="241">
        <v>54513.4</v>
      </c>
    </row>
    <row r="11" spans="1:3">
      <c r="A11" t="s">
        <v>780</v>
      </c>
      <c r="B11" s="241">
        <v>50616.95</v>
      </c>
      <c r="C11" s="241">
        <f>2975.35+0.91</f>
        <v>2976.2599999999998</v>
      </c>
    </row>
    <row r="12" spans="1:3">
      <c r="A12" t="s">
        <v>781</v>
      </c>
      <c r="B12" s="241">
        <v>3215</v>
      </c>
      <c r="C12" s="241">
        <v>210.22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198743.84000000003</v>
      </c>
      <c r="C13" s="232">
        <f>SUM(C10:C12)</f>
        <v>57699.880000000005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53114.04</v>
      </c>
      <c r="C18" s="230">
        <f>'DOE25'!G197+'DOE25'!G215+'DOE25'!G233+'DOE25'!G276+'DOE25'!G295+'DOE25'!G314</f>
        <v>20393.439999999999</v>
      </c>
    </row>
    <row r="19" spans="1:3">
      <c r="A19" t="s">
        <v>779</v>
      </c>
      <c r="B19" s="241">
        <v>36803.599999999999</v>
      </c>
      <c r="C19" s="241">
        <v>18678.78</v>
      </c>
    </row>
    <row r="20" spans="1:3">
      <c r="A20" t="s">
        <v>780</v>
      </c>
      <c r="B20" s="241">
        <v>16310.44</v>
      </c>
      <c r="C20" s="241">
        <v>1714.66</v>
      </c>
    </row>
    <row r="21" spans="1:3">
      <c r="A21" t="s">
        <v>781</v>
      </c>
      <c r="B21" s="241">
        <v>0</v>
      </c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53114.04</v>
      </c>
      <c r="C22" s="232">
        <f>SUM(C19:C21)</f>
        <v>20393.439999999999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STODDARD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1717655.08</v>
      </c>
      <c r="D5" s="20">
        <f>SUM('DOE25'!L196:L199)+SUM('DOE25'!L214:L217)+SUM('DOE25'!L232:L235)-F5-G5</f>
        <v>1699148.05</v>
      </c>
      <c r="E5" s="244"/>
      <c r="F5" s="256">
        <f>SUM('DOE25'!J196:J199)+SUM('DOE25'!J214:J217)+SUM('DOE25'!J232:J235)</f>
        <v>28.5</v>
      </c>
      <c r="G5" s="53">
        <f>SUM('DOE25'!K196:K199)+SUM('DOE25'!K214:K217)+SUM('DOE25'!K232:K235)</f>
        <v>18478.53</v>
      </c>
      <c r="H5" s="260"/>
    </row>
    <row r="6" spans="1:9">
      <c r="A6" s="32">
        <v>2100</v>
      </c>
      <c r="B6" t="s">
        <v>801</v>
      </c>
      <c r="C6" s="246">
        <f t="shared" si="0"/>
        <v>30941</v>
      </c>
      <c r="D6" s="20">
        <f>'DOE25'!L201+'DOE25'!L219+'DOE25'!L237-F6-G6</f>
        <v>30941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30390.7</v>
      </c>
      <c r="D7" s="20">
        <f>'DOE25'!L202+'DOE25'!L220+'DOE25'!L238-F7-G7</f>
        <v>12970.33</v>
      </c>
      <c r="E7" s="244"/>
      <c r="F7" s="256">
        <f>'DOE25'!J202+'DOE25'!J220+'DOE25'!J238</f>
        <v>15680.37</v>
      </c>
      <c r="G7" s="53">
        <f>'DOE25'!K202+'DOE25'!K220+'DOE25'!K238</f>
        <v>1740</v>
      </c>
      <c r="H7" s="260"/>
    </row>
    <row r="8" spans="1:9">
      <c r="A8" s="32">
        <v>2300</v>
      </c>
      <c r="B8" t="s">
        <v>802</v>
      </c>
      <c r="C8" s="246">
        <f t="shared" si="0"/>
        <v>95958.52</v>
      </c>
      <c r="D8" s="244"/>
      <c r="E8" s="20">
        <f>'DOE25'!L203+'DOE25'!L221+'DOE25'!L239-F8-G8-D9-D11</f>
        <v>93796.14</v>
      </c>
      <c r="F8" s="256">
        <f>'DOE25'!J203+'DOE25'!J221+'DOE25'!J239</f>
        <v>0</v>
      </c>
      <c r="G8" s="53">
        <f>'DOE25'!K203+'DOE25'!K221+'DOE25'!K239</f>
        <v>2162.38</v>
      </c>
      <c r="H8" s="260"/>
    </row>
    <row r="9" spans="1:9">
      <c r="A9" s="32">
        <v>2310</v>
      </c>
      <c r="B9" t="s">
        <v>818</v>
      </c>
      <c r="C9" s="246">
        <f t="shared" si="0"/>
        <v>17683.900000000001</v>
      </c>
      <c r="D9" s="245">
        <v>17683.900000000001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3300</v>
      </c>
      <c r="D10" s="244"/>
      <c r="E10" s="245">
        <v>3300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30035.58</v>
      </c>
      <c r="D11" s="245">
        <v>30035.58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70338.750000000015</v>
      </c>
      <c r="D12" s="20">
        <f>'DOE25'!L204+'DOE25'!L222+'DOE25'!L240-F12-G12</f>
        <v>70028.750000000015</v>
      </c>
      <c r="E12" s="244"/>
      <c r="F12" s="256">
        <f>'DOE25'!J204+'DOE25'!J222+'DOE25'!J240</f>
        <v>0</v>
      </c>
      <c r="G12" s="53">
        <f>'DOE25'!K204+'DOE25'!K222+'DOE25'!K240</f>
        <v>310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142056.30000000002</v>
      </c>
      <c r="D14" s="20">
        <f>'DOE25'!L206+'DOE25'!L224+'DOE25'!L242-F14-G14</f>
        <v>136890.73000000001</v>
      </c>
      <c r="E14" s="244"/>
      <c r="F14" s="256">
        <f>'DOE25'!J206+'DOE25'!J224+'DOE25'!J242</f>
        <v>5165.57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180723.24</v>
      </c>
      <c r="D15" s="20">
        <f>'DOE25'!L207+'DOE25'!L225+'DOE25'!L243-F15-G15</f>
        <v>180723.24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35296.120000000003</v>
      </c>
      <c r="D29" s="20">
        <f>'DOE25'!L357+'DOE25'!L358+'DOE25'!L359-'DOE25'!I366-F29-G29</f>
        <v>35296.120000000003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30013.550000000003</v>
      </c>
      <c r="D31" s="20">
        <f>'DOE25'!L289+'DOE25'!L308+'DOE25'!L327+'DOE25'!L332+'DOE25'!L333+'DOE25'!L334-F31-G31</f>
        <v>17753.72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12259.83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2231471.4200000004</v>
      </c>
      <c r="E33" s="247">
        <f>SUM(E5:E31)</f>
        <v>97096.14</v>
      </c>
      <c r="F33" s="247">
        <f>SUM(F5:F31)</f>
        <v>20874.440000000002</v>
      </c>
      <c r="G33" s="247">
        <f>SUM(G5:G31)</f>
        <v>34950.74</v>
      </c>
      <c r="H33" s="247">
        <f>SUM(H5:H31)</f>
        <v>0</v>
      </c>
    </row>
    <row r="35" spans="2:8" ht="12" thickBot="1">
      <c r="B35" s="254" t="s">
        <v>847</v>
      </c>
      <c r="D35" s="255">
        <f>E33</f>
        <v>97096.14</v>
      </c>
      <c r="E35" s="250"/>
    </row>
    <row r="36" spans="2:8" ht="12" thickTop="1">
      <c r="B36" t="s">
        <v>815</v>
      </c>
      <c r="D36" s="20">
        <f>D33</f>
        <v>2231471.4200000004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STODDARD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202235.55</v>
      </c>
      <c r="D8" s="95">
        <f>'DOE25'!G9</f>
        <v>-478.51</v>
      </c>
      <c r="E8" s="95">
        <f>'DOE25'!H9</f>
        <v>-3573.77</v>
      </c>
      <c r="F8" s="95">
        <f>'DOE25'!I9</f>
        <v>0</v>
      </c>
      <c r="G8" s="95">
        <f>'DOE25'!J9</f>
        <v>136202.67000000001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859.97</v>
      </c>
      <c r="D12" s="95">
        <f>'DOE25'!G13</f>
        <v>478.51</v>
      </c>
      <c r="E12" s="95">
        <f>'DOE25'!H13</f>
        <v>4249.74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203095.52</v>
      </c>
      <c r="D18" s="41">
        <f>SUM(D8:D17)</f>
        <v>0</v>
      </c>
      <c r="E18" s="41">
        <f>SUM(E8:E17)</f>
        <v>675.9699999999998</v>
      </c>
      <c r="F18" s="41">
        <f>SUM(F8:F17)</f>
        <v>0</v>
      </c>
      <c r="G18" s="41">
        <f>SUM(G8:G17)</f>
        <v>136202.67000000001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11165.25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3795.72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14960.97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675.97</v>
      </c>
      <c r="F46" s="95">
        <f>'DOE25'!I47</f>
        <v>0</v>
      </c>
      <c r="G46" s="95">
        <f>'DOE25'!J47</f>
        <v>136202.67000000001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188134.55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188134.55</v>
      </c>
      <c r="D49" s="41">
        <f>SUM(D34:D48)</f>
        <v>0</v>
      </c>
      <c r="E49" s="41">
        <f>SUM(E34:E48)</f>
        <v>675.97</v>
      </c>
      <c r="F49" s="41">
        <f>SUM(F34:F48)</f>
        <v>0</v>
      </c>
      <c r="G49" s="41">
        <f>SUM(G34:G48)</f>
        <v>136202.67000000001</v>
      </c>
      <c r="H49" s="124"/>
      <c r="I49" s="124"/>
    </row>
    <row r="50" spans="1:9" ht="12" thickTop="1">
      <c r="A50" s="38" t="s">
        <v>895</v>
      </c>
      <c r="B50" s="2"/>
      <c r="C50" s="41">
        <f>C49+C31</f>
        <v>203095.52</v>
      </c>
      <c r="D50" s="41">
        <f>D49+D31</f>
        <v>0</v>
      </c>
      <c r="E50" s="41">
        <f>E49+E31</f>
        <v>675.97</v>
      </c>
      <c r="F50" s="41">
        <f>F49+F31</f>
        <v>0</v>
      </c>
      <c r="G50" s="41">
        <f>G49+G31</f>
        <v>136202.67000000001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1797067</v>
      </c>
      <c r="D55" s="95">
        <f>'DOE25'!G59</f>
        <v>18305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3.31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1753.03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8203.5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15451.6</v>
      </c>
      <c r="D60" s="95">
        <f>SUM('DOE25'!G97:G109)</f>
        <v>0</v>
      </c>
      <c r="E60" s="95">
        <f>SUM('DOE25'!H97:H109)</f>
        <v>500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15454.91</v>
      </c>
      <c r="D61" s="130">
        <f>SUM(D56:D60)</f>
        <v>8203.5</v>
      </c>
      <c r="E61" s="130">
        <f>SUM(E56:E60)</f>
        <v>500</v>
      </c>
      <c r="F61" s="130">
        <f>SUM(F56:F60)</f>
        <v>0</v>
      </c>
      <c r="G61" s="130">
        <f>SUM(G56:G60)</f>
        <v>1753.03</v>
      </c>
      <c r="H61"/>
      <c r="I61"/>
    </row>
    <row r="62" spans="1:9" ht="12" thickTop="1">
      <c r="A62" s="29" t="s">
        <v>175</v>
      </c>
      <c r="B62" s="6"/>
      <c r="C62" s="22">
        <f>C55+C61</f>
        <v>1812521.91</v>
      </c>
      <c r="D62" s="22">
        <f>D55+D61</f>
        <v>26508.5</v>
      </c>
      <c r="E62" s="22">
        <f>E55+E61</f>
        <v>500</v>
      </c>
      <c r="F62" s="22">
        <f>F55+F61</f>
        <v>0</v>
      </c>
      <c r="G62" s="22">
        <f>G55+G61</f>
        <v>1753.03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633383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397.11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633780.11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24293.040000000001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116.48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24293.040000000001</v>
      </c>
      <c r="D77" s="130">
        <f>SUM(D71:D76)</f>
        <v>116.48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658073.15</v>
      </c>
      <c r="D80" s="130">
        <f>SUM(D78:D79)+D77+D69</f>
        <v>116.48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29896.14</v>
      </c>
      <c r="D87" s="95">
        <f>SUM('DOE25'!G152:G160)</f>
        <v>2142.29</v>
      </c>
      <c r="E87" s="95">
        <f>SUM('DOE25'!H152:H160)</f>
        <v>34211.89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29896.14</v>
      </c>
      <c r="D90" s="131">
        <f>SUM(D84:D89)</f>
        <v>2142.29</v>
      </c>
      <c r="E90" s="131">
        <f>SUM(E84:E89)</f>
        <v>34211.89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4923.79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4923.79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2500491.2000000002</v>
      </c>
      <c r="D103" s="86">
        <f>D62+D80+D90+D102</f>
        <v>33691.06</v>
      </c>
      <c r="E103" s="86">
        <f>E62+E80+E90+E102</f>
        <v>34711.89</v>
      </c>
      <c r="F103" s="86">
        <f>F62+F80+F90+F102</f>
        <v>0</v>
      </c>
      <c r="G103" s="86">
        <f>G62+G80+G102</f>
        <v>1753.03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1071725.31</v>
      </c>
      <c r="D108" s="24" t="s">
        <v>289</v>
      </c>
      <c r="E108" s="95">
        <f>('DOE25'!L275)+('DOE25'!L294)+('DOE25'!L313)</f>
        <v>28103.32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645929.77</v>
      </c>
      <c r="D109" s="24" t="s">
        <v>289</v>
      </c>
      <c r="E109" s="95">
        <f>('DOE25'!L276)+('DOE25'!L295)+('DOE25'!L314)</f>
        <v>36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1717655.08</v>
      </c>
      <c r="D114" s="86">
        <f>SUM(D108:D113)</f>
        <v>0</v>
      </c>
      <c r="E114" s="86">
        <f>SUM(E108:E113)</f>
        <v>28139.32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30941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30390.7</v>
      </c>
      <c r="D118" s="24" t="s">
        <v>289</v>
      </c>
      <c r="E118" s="95">
        <f>+('DOE25'!L281)+('DOE25'!L300)+('DOE25'!L319)</f>
        <v>1802.54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143678</v>
      </c>
      <c r="D119" s="24" t="s">
        <v>289</v>
      </c>
      <c r="E119" s="95">
        <f>+('DOE25'!L282)+('DOE25'!L301)+('DOE25'!L320)</f>
        <v>71.69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70338.750000000015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142056.30000000002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180723.24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35296.120000000003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598127.99</v>
      </c>
      <c r="D127" s="86">
        <f>SUM(D117:D126)</f>
        <v>35296.120000000003</v>
      </c>
      <c r="E127" s="86">
        <f>SUM(E117:E126)</f>
        <v>1874.23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4923.79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1753.0299999999997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-1753.0299999999997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4772.07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4923.79</v>
      </c>
      <c r="D143" s="141">
        <f>SUM(D129:D142)</f>
        <v>0</v>
      </c>
      <c r="E143" s="141">
        <f>SUM(E129:E142)</f>
        <v>4772.07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2320706.8600000003</v>
      </c>
      <c r="D144" s="86">
        <f>(D114+D127+D143)</f>
        <v>35296.120000000003</v>
      </c>
      <c r="E144" s="86">
        <f>(E114+E127+E143)</f>
        <v>34785.619999999995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STODDARD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12767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12767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1099829</v>
      </c>
      <c r="D10" s="182">
        <f>ROUND((C10/$C$28)*100,1)</f>
        <v>46.3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645966</v>
      </c>
      <c r="D11" s="182">
        <f>ROUND((C11/$C$28)*100,1)</f>
        <v>27.2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30941</v>
      </c>
      <c r="D15" s="182">
        <f t="shared" ref="D15:D27" si="0">ROUND((C15/$C$28)*100,1)</f>
        <v>1.3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32193</v>
      </c>
      <c r="D16" s="182">
        <f t="shared" si="0"/>
        <v>1.4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143750</v>
      </c>
      <c r="D17" s="182">
        <f t="shared" si="0"/>
        <v>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70339</v>
      </c>
      <c r="D18" s="182">
        <f t="shared" si="0"/>
        <v>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142056</v>
      </c>
      <c r="D20" s="182">
        <f t="shared" si="0"/>
        <v>6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180723</v>
      </c>
      <c r="D21" s="182">
        <f t="shared" si="0"/>
        <v>7.6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4772.07</v>
      </c>
      <c r="D26" s="182">
        <f t="shared" si="0"/>
        <v>0.2</v>
      </c>
    </row>
    <row r="27" spans="1:4">
      <c r="A27">
        <v>3100</v>
      </c>
      <c r="B27" t="s">
        <v>11</v>
      </c>
      <c r="C27" s="179">
        <f>ROUND('DOE25'!L361-'DOE25'!L360,0)-SUM('DOE25'!G96:G109)</f>
        <v>27092.5</v>
      </c>
      <c r="D27" s="182">
        <f t="shared" si="0"/>
        <v>1.1000000000000001</v>
      </c>
    </row>
    <row r="28" spans="1:4">
      <c r="B28" s="187" t="s">
        <v>723</v>
      </c>
      <c r="C28" s="180">
        <f>SUM(C10:C27)</f>
        <v>2377661.5699999998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2377661.5699999998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1815372</v>
      </c>
      <c r="D35" s="182">
        <f t="shared" ref="D35:D40" si="1">ROUND((C35/$C$41)*100,1)</f>
        <v>71</v>
      </c>
    </row>
    <row r="36" spans="1:4">
      <c r="B36" s="185" t="s">
        <v>743</v>
      </c>
      <c r="C36" s="179">
        <f>SUM('DOE25'!F111:J111)-SUM('DOE25'!G96:G109)+('DOE25'!F173+'DOE25'!F174+'DOE25'!I173+'DOE25'!I174)-C35</f>
        <v>17707.939999999944</v>
      </c>
      <c r="D36" s="182">
        <f t="shared" si="1"/>
        <v>0.7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633383</v>
      </c>
      <c r="D37" s="182">
        <f t="shared" si="1"/>
        <v>24.8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24807</v>
      </c>
      <c r="D38" s="182">
        <f t="shared" si="1"/>
        <v>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66250</v>
      </c>
      <c r="D39" s="182">
        <f t="shared" si="1"/>
        <v>2.6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2557519.94</v>
      </c>
      <c r="D41" s="184">
        <f>SUM(D35:D40)</f>
        <v>100.1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STODDARD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2012-08-24T17:46:16Z</cp:lastPrinted>
  <dcterms:created xsi:type="dcterms:W3CDTF">1997-12-04T19:04:30Z</dcterms:created>
  <dcterms:modified xsi:type="dcterms:W3CDTF">2012-11-21T16:13:38Z</dcterms:modified>
</cp:coreProperties>
</file>