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F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9" i="1" l="1"/>
  <c r="F22" i="1" l="1"/>
  <c r="F13" i="1"/>
  <c r="F464" i="1"/>
  <c r="F116" i="1" l="1"/>
  <c r="F56" i="1"/>
  <c r="H196" i="1" l="1"/>
  <c r="G610" i="1" l="1"/>
  <c r="F610" i="1"/>
  <c r="K201" i="1"/>
  <c r="F40" i="2"/>
  <c r="D39" i="2"/>
  <c r="G654" i="1" l="1"/>
  <c r="F47" i="2" l="1"/>
  <c r="E47" i="2"/>
  <c r="D47" i="2"/>
  <c r="C47" i="2"/>
  <c r="F46" i="2"/>
  <c r="F49" i="2" s="1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E13" i="13" s="1"/>
  <c r="C13" i="13" s="1"/>
  <c r="F16" i="13"/>
  <c r="G16" i="13"/>
  <c r="L208" i="1"/>
  <c r="L226" i="1"/>
  <c r="C124" i="2" s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G6" i="13"/>
  <c r="L201" i="1"/>
  <c r="D6" i="13" s="1"/>
  <c r="C6" i="13" s="1"/>
  <c r="L219" i="1"/>
  <c r="L237" i="1"/>
  <c r="C117" i="2" s="1"/>
  <c r="F7" i="13"/>
  <c r="G7" i="13"/>
  <c r="L202" i="1"/>
  <c r="L220" i="1"/>
  <c r="C16" i="10" s="1"/>
  <c r="L238" i="1"/>
  <c r="F12" i="13"/>
  <c r="G12" i="13"/>
  <c r="L204" i="1"/>
  <c r="C18" i="10" s="1"/>
  <c r="L222" i="1"/>
  <c r="L240" i="1"/>
  <c r="F14" i="13"/>
  <c r="G14" i="13"/>
  <c r="L206" i="1"/>
  <c r="C122" i="2" s="1"/>
  <c r="L224" i="1"/>
  <c r="L242" i="1"/>
  <c r="F15" i="13"/>
  <c r="G15" i="13"/>
  <c r="L207" i="1"/>
  <c r="L225" i="1"/>
  <c r="L243" i="1"/>
  <c r="C123" i="2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G31" i="13" s="1"/>
  <c r="K327" i="1"/>
  <c r="L275" i="1"/>
  <c r="L276" i="1"/>
  <c r="E109" i="2" s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27" i="1" s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L260" i="1"/>
  <c r="L340" i="1"/>
  <c r="E130" i="2" s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6" i="1" s="1"/>
  <c r="C139" i="2" s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L249" i="1"/>
  <c r="L331" i="1"/>
  <c r="L253" i="1"/>
  <c r="C25" i="10"/>
  <c r="L267" i="1"/>
  <c r="L268" i="1"/>
  <c r="L348" i="1"/>
  <c r="L349" i="1"/>
  <c r="E142" i="2" s="1"/>
  <c r="I664" i="1"/>
  <c r="I669" i="1"/>
  <c r="L228" i="1"/>
  <c r="F661" i="1"/>
  <c r="G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E18" i="2" s="1"/>
  <c r="F9" i="2"/>
  <c r="I439" i="1"/>
  <c r="J10" i="1" s="1"/>
  <c r="G9" i="2" s="1"/>
  <c r="C10" i="2"/>
  <c r="C18" i="2" s="1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D18" i="2" s="1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F31" i="2" s="1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E49" i="2" s="1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E61" i="2" s="1"/>
  <c r="E62" i="2" s="1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F80" i="2" s="1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F90" i="2" s="1"/>
  <c r="C87" i="2"/>
  <c r="C90" i="2" s="1"/>
  <c r="D87" i="2"/>
  <c r="E87" i="2"/>
  <c r="F87" i="2"/>
  <c r="C88" i="2"/>
  <c r="D88" i="2"/>
  <c r="E88" i="2"/>
  <c r="F88" i="2"/>
  <c r="C89" i="2"/>
  <c r="C92" i="2"/>
  <c r="F92" i="2"/>
  <c r="C93" i="2"/>
  <c r="C102" i="2" s="1"/>
  <c r="F93" i="2"/>
  <c r="D95" i="2"/>
  <c r="E95" i="2"/>
  <c r="F95" i="2"/>
  <c r="F102" i="2" s="1"/>
  <c r="G95" i="2"/>
  <c r="C96" i="2"/>
  <c r="D96" i="2"/>
  <c r="E96" i="2"/>
  <c r="E102" i="2" s="1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10" i="2"/>
  <c r="E110" i="2"/>
  <c r="E111" i="2"/>
  <c r="C112" i="2"/>
  <c r="E112" i="2"/>
  <c r="C113" i="2"/>
  <c r="D114" i="2"/>
  <c r="F114" i="2"/>
  <c r="G114" i="2"/>
  <c r="E117" i="2"/>
  <c r="E118" i="2"/>
  <c r="E119" i="2"/>
  <c r="E120" i="2"/>
  <c r="E121" i="2"/>
  <c r="E122" i="2"/>
  <c r="E123" i="2"/>
  <c r="E124" i="2"/>
  <c r="F127" i="2"/>
  <c r="G127" i="2"/>
  <c r="E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50" i="1"/>
  <c r="G622" i="1" s="1"/>
  <c r="H50" i="1"/>
  <c r="H51" i="1" s="1"/>
  <c r="H618" i="1" s="1"/>
  <c r="I50" i="1"/>
  <c r="I51" i="1" s="1"/>
  <c r="H619" i="1" s="1"/>
  <c r="F176" i="1"/>
  <c r="F191" i="1" s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F407" i="1" s="1"/>
  <c r="H642" i="1" s="1"/>
  <c r="G400" i="1"/>
  <c r="H400" i="1"/>
  <c r="I400" i="1"/>
  <c r="F406" i="1"/>
  <c r="G406" i="1"/>
  <c r="H406" i="1"/>
  <c r="I406" i="1"/>
  <c r="G407" i="1"/>
  <c r="H644" i="1" s="1"/>
  <c r="H407" i="1"/>
  <c r="H643" i="1" s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638" i="1" s="1"/>
  <c r="G445" i="1"/>
  <c r="H445" i="1"/>
  <c r="F451" i="1"/>
  <c r="F460" i="1" s="1"/>
  <c r="H638" i="1" s="1"/>
  <c r="G451" i="1"/>
  <c r="H451" i="1"/>
  <c r="F459" i="1"/>
  <c r="G459" i="1"/>
  <c r="H459" i="1"/>
  <c r="G460" i="1"/>
  <c r="H460" i="1"/>
  <c r="H640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9" i="1"/>
  <c r="H639" i="1"/>
  <c r="G640" i="1"/>
  <c r="G642" i="1"/>
  <c r="G643" i="1"/>
  <c r="H646" i="1"/>
  <c r="G648" i="1"/>
  <c r="G649" i="1"/>
  <c r="G651" i="1"/>
  <c r="J651" i="1" s="1"/>
  <c r="H651" i="1"/>
  <c r="G652" i="1"/>
  <c r="H652" i="1"/>
  <c r="G653" i="1"/>
  <c r="H653" i="1"/>
  <c r="H654" i="1"/>
  <c r="K256" i="1"/>
  <c r="L289" i="1"/>
  <c r="C69" i="2"/>
  <c r="D12" i="13"/>
  <c r="C12" i="13" s="1"/>
  <c r="G8" i="2"/>
  <c r="D61" i="2"/>
  <c r="D62" i="2" s="1"/>
  <c r="D18" i="13"/>
  <c r="C18" i="13" s="1"/>
  <c r="D7" i="13"/>
  <c r="C7" i="13" s="1"/>
  <c r="D17" i="13"/>
  <c r="C17" i="13" s="1"/>
  <c r="F61" i="2"/>
  <c r="F62" i="2" s="1"/>
  <c r="D31" i="2"/>
  <c r="D49" i="2"/>
  <c r="G160" i="2"/>
  <c r="D90" i="2"/>
  <c r="E31" i="2"/>
  <c r="G61" i="2"/>
  <c r="D19" i="13"/>
  <c r="C19" i="13" s="1"/>
  <c r="G102" i="2" l="1"/>
  <c r="K270" i="1"/>
  <c r="G644" i="1"/>
  <c r="J644" i="1" s="1"/>
  <c r="L350" i="1"/>
  <c r="G162" i="2"/>
  <c r="G163" i="2"/>
  <c r="G161" i="2"/>
  <c r="G159" i="2"/>
  <c r="G158" i="2"/>
  <c r="G157" i="2"/>
  <c r="G155" i="2"/>
  <c r="L528" i="1"/>
  <c r="F129" i="2"/>
  <c r="F143" i="2" s="1"/>
  <c r="F144" i="2" s="1"/>
  <c r="C109" i="2"/>
  <c r="C111" i="2"/>
  <c r="L255" i="1"/>
  <c r="G650" i="1"/>
  <c r="C21" i="10"/>
  <c r="D14" i="13"/>
  <c r="C14" i="13" s="1"/>
  <c r="C20" i="10"/>
  <c r="C121" i="2"/>
  <c r="G256" i="1"/>
  <c r="G270" i="1" s="1"/>
  <c r="F256" i="1"/>
  <c r="F270" i="1" s="1"/>
  <c r="C119" i="2"/>
  <c r="E8" i="13"/>
  <c r="C8" i="13" s="1"/>
  <c r="L210" i="1"/>
  <c r="F659" i="1" s="1"/>
  <c r="F663" i="1" s="1"/>
  <c r="C17" i="10"/>
  <c r="C61" i="2"/>
  <c r="C62" i="2" s="1"/>
  <c r="G624" i="1"/>
  <c r="G51" i="1"/>
  <c r="H617" i="1" s="1"/>
  <c r="J617" i="1" s="1"/>
  <c r="J619" i="1"/>
  <c r="F51" i="1"/>
  <c r="H616" i="1" s="1"/>
  <c r="J616" i="1" s="1"/>
  <c r="C31" i="2"/>
  <c r="J618" i="1"/>
  <c r="F18" i="2"/>
  <c r="E143" i="2"/>
  <c r="E114" i="2"/>
  <c r="D29" i="13"/>
  <c r="C29" i="13" s="1"/>
  <c r="D15" i="13"/>
  <c r="C15" i="13" s="1"/>
  <c r="J653" i="1"/>
  <c r="G623" i="1"/>
  <c r="L533" i="1"/>
  <c r="F544" i="1"/>
  <c r="K499" i="1"/>
  <c r="I459" i="1"/>
  <c r="I451" i="1"/>
  <c r="I460" i="1" s="1"/>
  <c r="H641" i="1" s="1"/>
  <c r="I445" i="1"/>
  <c r="G641" i="1" s="1"/>
  <c r="I433" i="1"/>
  <c r="L381" i="1"/>
  <c r="G635" i="1" s="1"/>
  <c r="J635" i="1" s="1"/>
  <c r="K433" i="1"/>
  <c r="G133" i="2" s="1"/>
  <c r="G143" i="2" s="1"/>
  <c r="G144" i="2" s="1"/>
  <c r="C120" i="2"/>
  <c r="C118" i="2"/>
  <c r="H660" i="1"/>
  <c r="C24" i="10"/>
  <c r="C11" i="10"/>
  <c r="G111" i="1"/>
  <c r="C26" i="10"/>
  <c r="G570" i="1"/>
  <c r="L538" i="1"/>
  <c r="K502" i="1"/>
  <c r="K337" i="1"/>
  <c r="K351" i="1" s="1"/>
  <c r="I256" i="1"/>
  <c r="I270" i="1" s="1"/>
  <c r="D102" i="2"/>
  <c r="H661" i="1"/>
  <c r="I661" i="1" s="1"/>
  <c r="G660" i="1"/>
  <c r="C19" i="10"/>
  <c r="C15" i="10"/>
  <c r="I662" i="1"/>
  <c r="F31" i="13"/>
  <c r="F50" i="2"/>
  <c r="J652" i="1"/>
  <c r="G621" i="1"/>
  <c r="L543" i="1"/>
  <c r="L523" i="1"/>
  <c r="G433" i="1"/>
  <c r="J337" i="1"/>
  <c r="J351" i="1" s="1"/>
  <c r="I191" i="1"/>
  <c r="D126" i="2"/>
  <c r="D127" i="2" s="1"/>
  <c r="D144" i="2" s="1"/>
  <c r="A40" i="12"/>
  <c r="L361" i="1"/>
  <c r="J648" i="1"/>
  <c r="L246" i="1"/>
  <c r="H659" i="1" s="1"/>
  <c r="C10" i="10"/>
  <c r="A22" i="12"/>
  <c r="C108" i="2"/>
  <c r="F139" i="1"/>
  <c r="D50" i="2"/>
  <c r="E90" i="2"/>
  <c r="G33" i="13"/>
  <c r="C80" i="2"/>
  <c r="E77" i="2"/>
  <c r="E80" i="2" s="1"/>
  <c r="E103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E50" i="2"/>
  <c r="J643" i="1"/>
  <c r="J642" i="1"/>
  <c r="J475" i="1"/>
  <c r="H625" i="1" s="1"/>
  <c r="H475" i="1"/>
  <c r="H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C23" i="10"/>
  <c r="F168" i="1"/>
  <c r="C39" i="10" s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551" i="1"/>
  <c r="H551" i="1"/>
  <c r="C29" i="10"/>
  <c r="I660" i="1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F551" i="1"/>
  <c r="C35" i="10"/>
  <c r="L308" i="1"/>
  <c r="D5" i="13"/>
  <c r="E16" i="13"/>
  <c r="C49" i="2"/>
  <c r="J654" i="1"/>
  <c r="J192" i="1"/>
  <c r="L569" i="1"/>
  <c r="I570" i="1"/>
  <c r="I544" i="1"/>
  <c r="G36" i="2"/>
  <c r="G49" i="2" s="1"/>
  <c r="J50" i="1"/>
  <c r="H192" i="1"/>
  <c r="G628" i="1" s="1"/>
  <c r="J628" i="1" s="1"/>
  <c r="L564" i="1"/>
  <c r="L570" i="1" s="1"/>
  <c r="G544" i="1"/>
  <c r="H544" i="1"/>
  <c r="K550" i="1"/>
  <c r="L433" i="1" l="1"/>
  <c r="G637" i="1" s="1"/>
  <c r="J637" i="1" s="1"/>
  <c r="E144" i="2"/>
  <c r="C103" i="2"/>
  <c r="L544" i="1"/>
  <c r="C114" i="2"/>
  <c r="H663" i="1"/>
  <c r="H666" i="1" s="1"/>
  <c r="H647" i="1"/>
  <c r="J647" i="1" s="1"/>
  <c r="L256" i="1"/>
  <c r="L270" i="1" s="1"/>
  <c r="G631" i="1" s="1"/>
  <c r="J631" i="1" s="1"/>
  <c r="C127" i="2"/>
  <c r="G192" i="1"/>
  <c r="G627" i="1" s="1"/>
  <c r="J627" i="1" s="1"/>
  <c r="C36" i="10"/>
  <c r="J621" i="1"/>
  <c r="C50" i="2"/>
  <c r="J623" i="1"/>
  <c r="C38" i="10"/>
  <c r="K551" i="1"/>
  <c r="G50" i="2"/>
  <c r="J641" i="1"/>
  <c r="C27" i="10"/>
  <c r="C28" i="10" s="1"/>
  <c r="G634" i="1"/>
  <c r="J634" i="1" s="1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H671" i="1" l="1"/>
  <c r="C144" i="2"/>
  <c r="C41" i="10"/>
  <c r="D39" i="10" s="1"/>
  <c r="D18" i="10"/>
  <c r="D26" i="10"/>
  <c r="D10" i="10"/>
  <c r="D21" i="10"/>
  <c r="D20" i="10"/>
  <c r="D12" i="10"/>
  <c r="D13" i="10"/>
  <c r="D23" i="10"/>
  <c r="C30" i="10"/>
  <c r="D17" i="10"/>
  <c r="D11" i="10"/>
  <c r="D15" i="10"/>
  <c r="D25" i="10"/>
  <c r="D24" i="10"/>
  <c r="D22" i="10"/>
  <c r="D27" i="10"/>
  <c r="D16" i="10"/>
  <c r="D19" i="10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37" i="10"/>
  <c r="D38" i="10"/>
  <c r="D35" i="10"/>
  <c r="D36" i="10"/>
  <c r="D40" i="10"/>
  <c r="D28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<sst xmlns="http://schemas.openxmlformats.org/spreadsheetml/2006/main" count="3946" uniqueCount="913">
  <si>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</si>
  <si>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</si>
  <si>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</si>
  <si>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</si>
  <si>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</si>
  <si>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</si>
  <si>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</si>
  <si>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</si>
  <si>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</si>
  <si>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</si>
  <si>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</si>
  <si>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</si>
  <si>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</si>
  <si>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</si>
  <si>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</si>
  <si>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</si>
  <si>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</si>
  <si>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</si>
  <si>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</si>
  <si>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</si>
  <si>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</si>
  <si>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</si>
  <si>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</si>
  <si>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</si>
  <si>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</si>
  <si>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</si>
  <si>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</si>
  <si>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</si>
  <si>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</si>
  <si>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</si>
  <si>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</si>
  <si>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</si>
  <si>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</si>
  <si>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</si>
  <si>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</si>
  <si>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</si>
  <si>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</si>
  <si>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</si>
  <si>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</si>
  <si>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</si>
  <si>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</si>
  <si>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</si>
  <si>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</si>
  <si>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</si>
  <si>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</si>
  <si>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</si>
  <si>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</si>
  <si>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</si>
  <si>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</si>
  <si>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</si>
  <si>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</si>
  <si>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</si>
  <si>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</si>
  <si>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</si>
  <si>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</si>
  <si>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</si>
  <si>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</si>
  <si>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</si>
  <si>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</si>
  <si>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</si>
  <si>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</si>
  <si>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</si>
  <si>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</si>
  <si>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</si>
  <si>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</si>
  <si>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</si>
  <si>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</si>
  <si>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</si>
  <si>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</si>
  <si>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</si>
  <si>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</si>
  <si>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</si>
  <si>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</si>
  <si>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</si>
  <si>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</si>
  <si>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</si>
  <si>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</si>
  <si>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</si>
  <si>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</si>
  <si>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</si>
  <si>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</si>
  <si>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</si>
  <si>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</si>
  <si>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</si>
  <si>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</si>
  <si>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</si>
  <si>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</si>
  <si>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</si>
  <si>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</si>
  <si>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</si>
  <si>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</si>
  <si>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</si>
  <si>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</si>
  <si>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</si>
  <si>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</si>
  <si>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</si>
  <si>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</si>
  <si>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</si>
  <si>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</si>
  <si>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</si>
  <si>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</si>
  <si>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</si>
  <si>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</si>
  <si>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</si>
  <si>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</si>
  <si>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</si>
  <si>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</si>
  <si>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</si>
  <si>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</si>
  <si>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</si>
  <si>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</si>
  <si>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</si>
  <si>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</si>
  <si>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</si>
  <si>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</si>
  <si>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</si>
  <si>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</si>
  <si>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</si>
  <si>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</si>
  <si>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</si>
  <si>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</si>
  <si>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</si>
  <si>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</si>
  <si>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</si>
  <si>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</si>
  <si>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</si>
  <si>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</si>
  <si>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</si>
  <si>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</si>
  <si>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</si>
  <si>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</si>
  <si>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</si>
  <si>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</si>
  <si>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</si>
  <si>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</si>
  <si>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</si>
  <si>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</si>
  <si>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</si>
  <si>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</si>
  <si>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</si>
  <si>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</si>
  <si>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</si>
  <si>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</si>
  <si>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</si>
  <si>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</si>
  <si>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</si>
  <si>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</si>
  <si>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</si>
  <si>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</si>
  <si>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</si>
  <si>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</si>
  <si>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</si>
  <si>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</si>
  <si>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</si>
  <si>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</si>
  <si>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</si>
  <si>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</si>
  <si>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</si>
  <si>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</si>
  <si>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</si>
  <si>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</si>
  <si>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</si>
  <si>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</si>
  <si>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</si>
  <si>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</si>
  <si>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</si>
  <si>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</si>
  <si>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</si>
  <si>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</si>
  <si>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</si>
  <si>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</si>
  <si>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</si>
  <si>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</si>
  <si>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</si>
  <si>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</si>
  <si>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</si>
  <si>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</si>
  <si>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</si>
  <si>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</si>
  <si>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</si>
  <si>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</si>
  <si>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</si>
  <si>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</si>
  <si>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</si>
  <si>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</si>
  <si>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</si>
  <si>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</si>
  <si>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</si>
  <si>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</si>
  <si>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</si>
  <si>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</si>
  <si>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</si>
  <si>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</si>
  <si>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</si>
  <si>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</si>
  <si>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</si>
  <si>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</si>
  <si>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</si>
  <si>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</si>
  <si>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</si>
  <si>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</si>
  <si>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</si>
  <si>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</si>
  <si>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</si>
  <si>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</si>
  <si>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</si>
  <si>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</si>
  <si>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</si>
  <si>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</si>
  <si>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</si>
  <si>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</si>
  <si>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</si>
  <si>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</si>
  <si>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</si>
  <si>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</si>
  <si>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</si>
  <si>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</si>
  <si>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</si>
  <si>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</si>
  <si>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</si>
  <si>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</si>
  <si>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</si>
  <si>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</si>
  <si>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</si>
  <si>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</si>
  <si>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</si>
  <si>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</si>
  <si>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</si>
  <si>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</si>
  <si>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</si>
  <si>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</si>
  <si>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</si>
  <si>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</si>
  <si>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</si>
  <si>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</si>
  <si>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</si>
  <si>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</si>
  <si>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</si>
  <si>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</si>
  <si>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</si>
  <si>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</si>
  <si>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</si>
  <si>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</si>
  <si>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</si>
  <si>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</si>
  <si>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</si>
  <si>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</si>
  <si>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</si>
  <si>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</si>
  <si>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</si>
  <si>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</si>
  <si>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</si>
  <si>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</si>
  <si>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</si>
  <si>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</si>
  <si>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</si>
  <si>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</si>
  <si>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</si>
  <si>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</si>
  <si>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</si>
  <si>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</si>
  <si>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</si>
  <si>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</si>
  <si>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</si>
  <si>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</si>
  <si>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</si>
  <si>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</si>
  <si>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</si>
  <si>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</si>
  <si>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</si>
  <si>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</si>
  <si>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</si>
  <si>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</si>
  <si>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</si>
  <si>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</si>
  <si>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</si>
  <si>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</si>
  <si>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</si>
  <si>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</si>
  <si>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</si>
  <si>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</si>
  <si>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</si>
  <si>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</si>
  <si>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</si>
  <si>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</si>
  <si>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</si>
  <si>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</si>
  <si>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</si>
  <si>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</si>
  <si>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</si>
  <si>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</si>
  <si>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</si>
  <si>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</si>
  <si>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</si>
  <si>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</si>
  <si>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</si>
  <si>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</si>
  <si>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</si>
  <si>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</si>
  <si>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</si>
  <si>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</si>
  <si>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</si>
  <si>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</si>
  <si>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</si>
  <si>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</si>
  <si>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</si>
  <si>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</si>
  <si>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</si>
  <si>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</si>
  <si>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</si>
  <si>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</si>
  <si>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</si>
  <si>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</si>
  <si>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</si>
  <si>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</si>
  <si>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</si>
  <si>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</si>
  <si>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</si>
  <si>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</si>
  <si>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</si>
  <si>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</si>
  <si>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</si>
  <si>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</si>
  <si>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</si>
  <si>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</si>
  <si>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</si>
  <si>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</si>
  <si>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</si>
  <si>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</si>
  <si>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</si>
  <si>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</si>
  <si>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</si>
  <si>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</si>
  <si>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</si>
  <si>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</si>
  <si>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</si>
  <si>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</si>
  <si>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</si>
  <si>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</si>
  <si>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</si>
  <si>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</si>
  <si>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</si>
  <si>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</si>
  <si>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</si>
  <si>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</si>
  <si>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</si>
  <si>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</si>
  <si>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</si>
  <si>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</si>
  <si>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</si>
  <si>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</si>
  <si>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</si>
  <si>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</si>
  <si>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</si>
  <si>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</si>
  <si>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</si>
  <si>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</si>
  <si>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</si>
  <si>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</si>
  <si>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</si>
  <si>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</si>
  <si>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</si>
  <si>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</si>
  <si>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</si>
  <si>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</si>
  <si>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</si>
  <si>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</si>
  <si>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</si>
  <si>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</si>
  <si>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</si>
  <si>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</si>
  <si>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</si>
  <si>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</si>
  <si>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</si>
  <si>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</si>
  <si>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</si>
  <si>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</si>
  <si>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</si>
  <si>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</si>
  <si>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</si>
  <si>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</si>
  <si>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</si>
  <si>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</si>
  <si>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</si>
  <si>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</si>
  <si>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</si>
  <si>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</si>
  <si>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</si>
  <si>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</si>
  <si>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</si>
  <si>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</si>
  <si>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</si>
  <si>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</si>
  <si>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</si>
  <si>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</si>
  <si>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</si>
  <si>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</si>
  <si>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</si>
  <si>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</si>
  <si>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</si>
  <si>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</si>
  <si>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</si>
  <si>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</si>
  <si>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</si>
  <si>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</si>
  <si>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</si>
  <si>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</si>
  <si>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</si>
  <si>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</si>
  <si>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</si>
  <si>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</si>
  <si>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</si>
  <si>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</si>
  <si>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</si>
  <si>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</si>
  <si>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</si>
  <si>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</si>
  <si>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</si>
  <si>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</si>
  <si>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</si>
  <si>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</si>
  <si>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</si>
  <si>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</si>
  <si>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</si>
  <si>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</si>
  <si>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</si>
  <si>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</si>
  <si>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</si>
  <si>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</si>
  <si>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</si>
  <si>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</si>
  <si>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</si>
  <si>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</si>
  <si>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</si>
  <si>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</si>
  <si>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</si>
  <si>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</si>
  <si>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</si>
  <si>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</si>
  <si>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</si>
  <si>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</si>
  <si>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</si>
  <si>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</si>
  <si>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</si>
  <si>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</si>
  <si>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</si>
  <si>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</si>
  <si>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</si>
  <si>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</si>
  <si>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</si>
  <si>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</si>
  <si>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</si>
  <si>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</si>
  <si>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</si>
  <si>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</si>
  <si>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</si>
  <si>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</si>
  <si>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</si>
  <si>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</si>
  <si>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</si>
  <si>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</si>
  <si>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</si>
  <si>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</si>
  <si>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</si>
  <si>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</si>
  <si>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</si>
  <si>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</si>
  <si>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</si>
  <si>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</si>
  <si>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</si>
  <si>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</si>
  <si>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</si>
  <si>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</si>
  <si>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</si>
  <si>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</si>
  <si>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</si>
  <si>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</si>
  <si>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</si>
  <si>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</si>
  <si>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</si>
  <si>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</si>
  <si>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</si>
  <si>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</si>
  <si>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</si>
  <si>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</si>
  <si>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</si>
  <si>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</si>
  <si>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</si>
  <si>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</si>
  <si>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</si>
  <si>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</si>
  <si>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</si>
  <si>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</si>
  <si>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</si>
  <si>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</si>
  <si>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</si>
  <si>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</si>
  <si>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</si>
  <si>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</si>
  <si>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</si>
  <si>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</si>
  <si>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</si>
  <si>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</si>
  <si>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</si>
  <si>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</si>
  <si>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</si>
  <si>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</si>
  <si>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</si>
  <si>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</si>
  <si>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</si>
  <si>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</si>
  <si>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</si>
  <si>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</si>
  <si>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</si>
  <si>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</si>
  <si>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</si>
  <si>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</si>
  <si>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</si>
  <si>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</si>
  <si>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</si>
  <si>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</si>
  <si>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</si>
  <si>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</si>
  <si>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</si>
  <si>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</si>
  <si>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</si>
  <si>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</si>
  <si>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</si>
  <si>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</si>
  <si>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</si>
  <si>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</si>
  <si>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</si>
  <si>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</si>
  <si>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</si>
  <si>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</si>
  <si>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</si>
  <si>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</si>
  <si>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</si>
  <si>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</si>
  <si>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</si>
  <si>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</si>
  <si>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</si>
  <si>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</si>
  <si>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</si>
  <si>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</si>
  <si>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</si>
  <si>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</si>
  <si>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</si>
  <si>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</si>
  <si>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</si>
  <si>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</si>
  <si>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</si>
  <si>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</si>
  <si>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</si>
  <si>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</si>
  <si>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</si>
  <si>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</si>
  <si>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</si>
  <si>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</si>
  <si>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</si>
  <si>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</si>
  <si>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</si>
  <si>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</si>
  <si>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</si>
  <si>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</si>
  <si>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</si>
  <si>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</si>
  <si>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</si>
  <si>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</si>
  <si>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</si>
  <si>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</si>
  <si>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</si>
  <si>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</si>
  <si>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</si>
  <si>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</si>
  <si>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</si>
  <si>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</si>
  <si>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</si>
  <si>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</si>
  <si>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</si>
  <si>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</si>
  <si>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</si>
  <si>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</si>
  <si>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</si>
  <si>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</si>
  <si>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</si>
  <si>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</si>
  <si>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</si>
  <si>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</si>
  <si>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</si>
  <si>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</si>
  <si>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</si>
  <si>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</si>
  <si>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</si>
  <si>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</si>
  <si>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</si>
  <si>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</si>
  <si>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</si>
  <si>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</si>
  <si>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</si>
  <si>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</si>
  <si>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</si>
  <si>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</si>
  <si>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</si>
  <si>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</si>
  <si>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</si>
  <si>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</si>
  <si>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</si>
  <si>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</si>
  <si>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</si>
  <si>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</si>
  <si>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</si>
  <si>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</si>
  <si>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</si>
  <si>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</si>
  <si>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</si>
  <si>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</si>
  <si>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</si>
  <si>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</si>
  <si>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</si>
  <si>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</si>
  <si>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</si>
  <si>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</si>
  <si>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</si>
  <si>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</si>
  <si>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</si>
  <si>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</si>
  <si>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</si>
  <si>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</si>
  <si>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</si>
  <si>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</si>
  <si>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</si>
  <si>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</si>
  <si>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</si>
  <si>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</si>
  <si>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</si>
  <si>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</si>
  <si>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</si>
  <si>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</si>
  <si>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</si>
  <si>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</si>
  <si>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</si>
  <si>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</si>
  <si>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</si>
  <si>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</si>
  <si>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</si>
  <si>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</si>
  <si>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</si>
  <si>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</si>
  <si>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</si>
  <si>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</si>
  <si>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</si>
  <si>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</si>
  <si>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</si>
  <si>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</si>
  <si>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</si>
  <si>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</si>
  <si>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</si>
  <si>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</si>
  <si>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</si>
  <si>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</si>
  <si>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</si>
  <si>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</si>
  <si>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</si>
  <si>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</si>
  <si>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</si>
  <si>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</si>
  <si>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</si>
  <si>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</si>
  <si>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</si>
  <si>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</si>
  <si>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</si>
  <si>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</si>
  <si>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</si>
  <si>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</si>
  <si>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</si>
  <si>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</si>
  <si>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</si>
  <si>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</si>
  <si>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</si>
  <si>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</si>
  <si>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</si>
  <si>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</si>
  <si>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</si>
  <si>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</si>
  <si>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</si>
  <si>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</si>
  <si>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</si>
  <si>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</si>
  <si>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</si>
  <si>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</si>
  <si>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</si>
  <si>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</si>
  <si>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</si>
  <si>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</si>
  <si>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</si>
  <si>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</si>
  <si>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</si>
  <si>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</si>
  <si>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</si>
  <si>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</si>
  <si>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</si>
  <si>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</si>
  <si>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</si>
  <si>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</si>
  <si>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</si>
  <si>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</si>
  <si>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</si>
  <si>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</si>
  <si>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</si>
  <si>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</si>
  <si>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</si>
  <si>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</si>
  <si>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</si>
  <si>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</si>
  <si>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</si>
  <si>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</si>
  <si>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</si>
  <si>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</si>
  <si>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</si>
  <si>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</si>
  <si>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</si>
  <si>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</si>
  <si>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</si>
  <si>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</si>
  <si>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</si>
  <si>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</si>
  <si>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</si>
  <si>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</si>
  <si>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</si>
  <si>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</si>
  <si>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</si>
  <si>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</si>
  <si>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</si>
  <si>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</si>
  <si>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</si>
  <si>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</si>
  <si>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</si>
  <si>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</si>
  <si>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</si>
  <si>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</si>
  <si>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</si>
  <si>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</si>
  <si>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</si>
  <si>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</si>
  <si>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</si>
  <si>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</si>
  <si>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</si>
  <si>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</si>
  <si>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</si>
  <si>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</si>
  <si>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</si>
  <si>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</si>
  <si>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</si>
  <si>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</si>
  <si>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</si>
  <si>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</si>
  <si>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</si>
  <si>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</si>
  <si>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</si>
  <si>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</si>
  <si>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</si>
  <si>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</si>
  <si>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</si>
  <si>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</si>
  <si>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</si>
  <si>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</si>
  <si>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</si>
  <si>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</si>
  <si>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</si>
  <si>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</si>
  <si>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</si>
  <si>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</si>
  <si>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</si>
  <si>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</si>
  <si>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</si>
  <si>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</si>
  <si>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</si>
  <si>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</si>
  <si>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</si>
  <si>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</si>
  <si>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</si>
  <si>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</si>
  <si>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</si>
  <si>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</si>
  <si>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</si>
  <si>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</si>
  <si>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</si>
  <si>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</si>
  <si>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</si>
  <si>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</si>
  <si>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</si>
  <si>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</si>
  <si>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</si>
  <si>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</si>
  <si>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</si>
  <si>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</si>
  <si>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</si>
  <si>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</si>
  <si>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</si>
  <si>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</si>
  <si>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</si>
  <si>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</si>
  <si>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</si>
  <si>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</si>
  <si>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</si>
  <si>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</si>
  <si>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</si>
  <si>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</si>
  <si>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</si>
  <si>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</si>
  <si>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</si>
  <si>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</si>
  <si>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</si>
  <si>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</si>
  <si>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</si>
  <si>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</si>
  <si>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</si>
  <si>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</si>
  <si>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</si>
  <si>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</si>
  <si>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</si>
  <si>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</si>
  <si>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</si>
  <si>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</si>
  <si>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</si>
  <si>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</si>
  <si>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</si>
  <si>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</si>
  <si>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</si>
  <si>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</si>
  <si>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</si>
  <si>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</si>
  <si>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</si>
  <si>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</si>
  <si>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</si>
  <si>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</si>
  <si>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</si>
  <si>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</si>
  <si>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</si>
  <si>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</si>
  <si>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</si>
  <si>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</si>
  <si>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</si>
  <si>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</si>
  <si>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</si>
  <si>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</si>
  <si>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</si>
  <si>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</si>
  <si>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</si>
  <si>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</si>
  <si>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</si>
  <si>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</si>
  <si>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</si>
  <si>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</si>
  <si>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</si>
  <si>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</si>
  <si>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</si>
  <si>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</si>
  <si>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</si>
  <si>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</si>
  <si>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</si>
  <si>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</si>
  <si>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</si>
  <si>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</si>
  <si>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</si>
  <si>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</si>
  <si>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</si>
  <si>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</si>
  <si>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</si>
  <si>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</si>
  <si>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</si>
  <si>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</si>
  <si>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</si>
  <si>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</si>
  <si>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</si>
  <si>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</si>
  <si>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</si>
  <si>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</si>
  <si>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</si>
  <si>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</si>
  <si>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</si>
  <si>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</si>
  <si>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</si>
  <si>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</si>
  <si>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</si>
  <si>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</si>
  <si>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</si>
  <si>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</si>
  <si>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</si>
  <si>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</si>
  <si>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</si>
  <si>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</si>
  <si>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</si>
  <si>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</si>
  <si>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</si>
  <si>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</si>
  <si>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</si>
  <si>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</si>
  <si>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</si>
  <si>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</si>
  <si>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</si>
  <si>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</si>
  <si>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</si>
  <si>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</si>
  <si>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</si>
  <si>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</si>
  <si>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</si>
  <si>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</si>
  <si>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STRAFFORD SCHOOL DISTRICT</t>
  </si>
  <si>
    <t>.</t>
  </si>
  <si>
    <t>08/10</t>
  </si>
  <si>
    <t>08/30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</si>
</sst>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227" activePane="bottomRight" state="frozen"/>
      <selection pane="topRight" activeCell="F1" sqref="F1"/>
      <selection pane="bottomLeft" activeCell="A4" sqref="A4"/>
      <selection pane="bottomRight" activeCell="K239" sqref="K23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507</v>
      </c>
      <c r="C2" s="21">
        <v>507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674691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>
        <v>72977</v>
      </c>
      <c r="J12" s="67">
        <f>SUM(I440)</f>
        <v>50000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498726-50000</f>
        <v>448726</v>
      </c>
      <c r="G13" s="18">
        <v>8842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1131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1123417</v>
      </c>
      <c r="G19" s="41">
        <f>SUM(G9:G18)</f>
        <v>9973</v>
      </c>
      <c r="H19" s="41">
        <f>SUM(H9:H18)</f>
        <v>0</v>
      </c>
      <c r="I19" s="41">
        <f>SUM(I9:I18)</f>
        <v>72977</v>
      </c>
      <c r="J19" s="41">
        <f>SUM(J9:J18)</f>
        <v>50000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66191</f>
        <v>66191</v>
      </c>
      <c r="G22" s="18">
        <v>6786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20607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47553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65237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199588</v>
      </c>
      <c r="G32" s="41">
        <f>SUM(G22:G31)</f>
        <v>6786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1131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2056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72977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9604</v>
      </c>
      <c r="G45" s="18"/>
      <c r="H45" s="18"/>
      <c r="I45" s="18"/>
      <c r="J45" s="13">
        <f>I454</f>
        <v>50000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455549</v>
      </c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408676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923829</v>
      </c>
      <c r="G50" s="41">
        <f>SUM(G35:G49)</f>
        <v>3187</v>
      </c>
      <c r="H50" s="41">
        <f>SUM(H35:H49)</f>
        <v>0</v>
      </c>
      <c r="I50" s="41">
        <f>SUM(I35:I49)</f>
        <v>72977</v>
      </c>
      <c r="J50" s="41">
        <f>SUM(J35:J49)</f>
        <v>50000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1123417</v>
      </c>
      <c r="G51" s="41">
        <f>G50+G32</f>
        <v>9973</v>
      </c>
      <c r="H51" s="41">
        <f>H50+H32</f>
        <v>0</v>
      </c>
      <c r="I51" s="41">
        <f>I50+I32</f>
        <v>72977</v>
      </c>
      <c r="J51" s="41">
        <f>J50+J32</f>
        <v>50000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8111230-1093069</f>
        <v>7018161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4125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7022286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3696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3696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1079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107743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3520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4599</v>
      </c>
      <c r="G110" s="41">
        <f>SUM(G95:G109)</f>
        <v>107743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7030581</v>
      </c>
      <c r="G111" s="41">
        <f>G59+G110</f>
        <v>107743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2279185-1973</f>
        <v>2277212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1093069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1973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3372254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57832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20529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57832</v>
      </c>
      <c r="G135" s="41">
        <f>SUM(G122:G134)</f>
        <v>20529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3430086</v>
      </c>
      <c r="G139" s="41">
        <f>G120+SUM(G135:G136)</f>
        <v>20529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49525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46752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72419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119171</v>
      </c>
      <c r="G161" s="41">
        <f>SUM(G149:G160)</f>
        <v>49525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119171</v>
      </c>
      <c r="G168" s="41">
        <f>G146+G161+SUM(G162:G167)</f>
        <v>49525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10579838</v>
      </c>
      <c r="G192" s="47">
        <f>G111+G139+G168+G191</f>
        <v>177797</v>
      </c>
      <c r="H192" s="47">
        <f>H111+H139+H168+H191</f>
        <v>0</v>
      </c>
      <c r="I192" s="47">
        <f>I111+I139+I168+I191</f>
        <v>0</v>
      </c>
      <c r="J192" s="47">
        <f>J111+J139+J191</f>
        <v>50000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1807863</v>
      </c>
      <c r="G196" s="18">
        <v>828268</v>
      </c>
      <c r="H196" s="18">
        <f>32256-309</f>
        <v>31947</v>
      </c>
      <c r="I196" s="18">
        <v>44571</v>
      </c>
      <c r="J196" s="18">
        <v>46045</v>
      </c>
      <c r="K196" s="18">
        <v>190</v>
      </c>
      <c r="L196" s="19">
        <f>SUM(F196:K196)</f>
        <v>2758884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688265</v>
      </c>
      <c r="G197" s="18">
        <v>403123</v>
      </c>
      <c r="H197" s="18">
        <v>165193</v>
      </c>
      <c r="I197" s="18">
        <v>9053</v>
      </c>
      <c r="J197" s="18"/>
      <c r="K197" s="18">
        <v>68</v>
      </c>
      <c r="L197" s="19">
        <f>SUM(F197:K197)</f>
        <v>1265702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40642</v>
      </c>
      <c r="G199" s="18">
        <v>7217</v>
      </c>
      <c r="H199" s="18">
        <v>1975</v>
      </c>
      <c r="I199" s="18">
        <v>3459</v>
      </c>
      <c r="J199" s="18"/>
      <c r="K199" s="18">
        <v>751</v>
      </c>
      <c r="L199" s="19">
        <f>SUM(F199:K199)</f>
        <v>54044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273923</v>
      </c>
      <c r="G201" s="18">
        <v>95550</v>
      </c>
      <c r="H201" s="18">
        <v>88073</v>
      </c>
      <c r="I201" s="18">
        <v>3574</v>
      </c>
      <c r="J201" s="18"/>
      <c r="K201" s="18">
        <f>135+650</f>
        <v>785</v>
      </c>
      <c r="L201" s="19">
        <f t="shared" ref="L201:L207" si="0">SUM(F201:K201)</f>
        <v>461905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57007</v>
      </c>
      <c r="G202" s="18">
        <v>58856</v>
      </c>
      <c r="H202" s="18">
        <v>46707</v>
      </c>
      <c r="I202" s="18">
        <v>32364</v>
      </c>
      <c r="J202" s="18"/>
      <c r="K202" s="18"/>
      <c r="L202" s="19">
        <f t="shared" si="0"/>
        <v>194934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6725</v>
      </c>
      <c r="G203" s="18">
        <v>514</v>
      </c>
      <c r="H203" s="18">
        <v>223539</v>
      </c>
      <c r="I203" s="18"/>
      <c r="J203" s="18"/>
      <c r="K203" s="18">
        <v>493</v>
      </c>
      <c r="L203" s="19">
        <f t="shared" si="0"/>
        <v>231271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266187</v>
      </c>
      <c r="G204" s="18">
        <v>132265</v>
      </c>
      <c r="H204" s="18">
        <v>7829</v>
      </c>
      <c r="I204" s="18">
        <v>329</v>
      </c>
      <c r="J204" s="18"/>
      <c r="K204" s="18">
        <v>2243</v>
      </c>
      <c r="L204" s="19">
        <f t="shared" si="0"/>
        <v>408853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24075</v>
      </c>
      <c r="G205" s="18">
        <v>18312</v>
      </c>
      <c r="H205" s="18">
        <v>1568</v>
      </c>
      <c r="I205" s="18">
        <v>476</v>
      </c>
      <c r="J205" s="18"/>
      <c r="K205" s="18"/>
      <c r="L205" s="19">
        <f t="shared" si="0"/>
        <v>44431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147775</v>
      </c>
      <c r="G206" s="18">
        <v>77429</v>
      </c>
      <c r="H206" s="18">
        <v>92735</v>
      </c>
      <c r="I206" s="18">
        <v>142365</v>
      </c>
      <c r="J206" s="18">
        <v>23109</v>
      </c>
      <c r="K206" s="18"/>
      <c r="L206" s="19">
        <f t="shared" si="0"/>
        <v>483413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271944</v>
      </c>
      <c r="I207" s="18"/>
      <c r="J207" s="18"/>
      <c r="K207" s="18"/>
      <c r="L207" s="19">
        <f t="shared" si="0"/>
        <v>271944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3312462</v>
      </c>
      <c r="G210" s="41">
        <f t="shared" si="1"/>
        <v>1621534</v>
      </c>
      <c r="H210" s="41">
        <f t="shared" si="1"/>
        <v>931510</v>
      </c>
      <c r="I210" s="41">
        <f t="shared" si="1"/>
        <v>236191</v>
      </c>
      <c r="J210" s="41">
        <f t="shared" si="1"/>
        <v>69154</v>
      </c>
      <c r="K210" s="41">
        <f t="shared" si="1"/>
        <v>4530</v>
      </c>
      <c r="L210" s="41">
        <f t="shared" si="1"/>
        <v>6175381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3026054</v>
      </c>
      <c r="I232" s="18"/>
      <c r="J232" s="18"/>
      <c r="K232" s="18"/>
      <c r="L232" s="19">
        <f>SUM(F232:K232)</f>
        <v>3026054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544333</v>
      </c>
      <c r="I233" s="18"/>
      <c r="J233" s="18"/>
      <c r="K233" s="18"/>
      <c r="L233" s="19">
        <f>SUM(F233:K233)</f>
        <v>544333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25182</v>
      </c>
      <c r="I237" s="18"/>
      <c r="J237" s="18"/>
      <c r="K237" s="18"/>
      <c r="L237" s="19">
        <f t="shared" ref="L237:L243" si="4">SUM(F237:K237)</f>
        <v>25182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3465</v>
      </c>
      <c r="G239" s="18">
        <v>266</v>
      </c>
      <c r="H239" s="18">
        <f>10035+105378</f>
        <v>115413</v>
      </c>
      <c r="I239" s="18"/>
      <c r="J239" s="18"/>
      <c r="K239" s="18"/>
      <c r="L239" s="19">
        <f t="shared" si="4"/>
        <v>119144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12403</v>
      </c>
      <c r="G241" s="18">
        <v>9434</v>
      </c>
      <c r="H241" s="18">
        <v>808</v>
      </c>
      <c r="I241" s="18">
        <v>240</v>
      </c>
      <c r="J241" s="18"/>
      <c r="K241" s="18"/>
      <c r="L241" s="19">
        <f t="shared" si="4"/>
        <v>22885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98696</v>
      </c>
      <c r="I243" s="18"/>
      <c r="J243" s="18"/>
      <c r="K243" s="18"/>
      <c r="L243" s="19">
        <f t="shared" si="4"/>
        <v>98696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15868</v>
      </c>
      <c r="G246" s="41">
        <f t="shared" si="5"/>
        <v>9700</v>
      </c>
      <c r="H246" s="41">
        <f t="shared" si="5"/>
        <v>3810486</v>
      </c>
      <c r="I246" s="41">
        <f t="shared" si="5"/>
        <v>240</v>
      </c>
      <c r="J246" s="41">
        <f t="shared" si="5"/>
        <v>0</v>
      </c>
      <c r="K246" s="41">
        <f t="shared" si="5"/>
        <v>0</v>
      </c>
      <c r="L246" s="41">
        <f t="shared" si="5"/>
        <v>3836294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3328330</v>
      </c>
      <c r="G256" s="41">
        <f t="shared" si="8"/>
        <v>1631234</v>
      </c>
      <c r="H256" s="41">
        <f t="shared" si="8"/>
        <v>4741996</v>
      </c>
      <c r="I256" s="41">
        <f t="shared" si="8"/>
        <v>236431</v>
      </c>
      <c r="J256" s="41">
        <f t="shared" si="8"/>
        <v>69154</v>
      </c>
      <c r="K256" s="41">
        <f t="shared" si="8"/>
        <v>4530</v>
      </c>
      <c r="L256" s="41">
        <f t="shared" si="8"/>
        <v>10011675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174500</v>
      </c>
      <c r="L259" s="19">
        <f>SUM(F259:K259)</f>
        <v>174500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233128</v>
      </c>
      <c r="L260" s="19">
        <f>SUM(F260:K260)</f>
        <v>233128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457628</v>
      </c>
      <c r="L269" s="41">
        <f t="shared" si="9"/>
        <v>457628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3328330</v>
      </c>
      <c r="G270" s="42">
        <f t="shared" si="11"/>
        <v>1631234</v>
      </c>
      <c r="H270" s="42">
        <f t="shared" si="11"/>
        <v>4741996</v>
      </c>
      <c r="I270" s="42">
        <f t="shared" si="11"/>
        <v>236431</v>
      </c>
      <c r="J270" s="42">
        <f t="shared" si="11"/>
        <v>69154</v>
      </c>
      <c r="K270" s="42">
        <f t="shared" si="11"/>
        <v>462158</v>
      </c>
      <c r="L270" s="42">
        <f t="shared" si="11"/>
        <v>10469303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70194</v>
      </c>
      <c r="G357" s="18">
        <v>11343</v>
      </c>
      <c r="H357" s="18">
        <v>157</v>
      </c>
      <c r="I357" s="18">
        <v>93609</v>
      </c>
      <c r="J357" s="18"/>
      <c r="K357" s="18">
        <v>46</v>
      </c>
      <c r="L357" s="13">
        <f>SUM(F357:K357)</f>
        <v>175349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70194</v>
      </c>
      <c r="G361" s="47">
        <f t="shared" si="22"/>
        <v>11343</v>
      </c>
      <c r="H361" s="47">
        <f t="shared" si="22"/>
        <v>157</v>
      </c>
      <c r="I361" s="47">
        <f t="shared" si="22"/>
        <v>93609</v>
      </c>
      <c r="J361" s="47">
        <f t="shared" si="22"/>
        <v>0</v>
      </c>
      <c r="K361" s="47">
        <f t="shared" si="22"/>
        <v>46</v>
      </c>
      <c r="L361" s="47">
        <f t="shared" si="22"/>
        <v>175349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91986</v>
      </c>
      <c r="G366" s="18"/>
      <c r="H366" s="18"/>
      <c r="I366" s="56">
        <f>SUM(F366:H366)</f>
        <v>91986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1623</v>
      </c>
      <c r="G367" s="63"/>
      <c r="H367" s="63"/>
      <c r="I367" s="56">
        <f>SUM(F367:H367)</f>
        <v>1623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93609</v>
      </c>
      <c r="G368" s="47">
        <f>SUM(G366:G367)</f>
        <v>0</v>
      </c>
      <c r="H368" s="47">
        <f>SUM(H366:H367)</f>
        <v>0</v>
      </c>
      <c r="I368" s="47">
        <f>SUM(I366:I367)</f>
        <v>93609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118037</v>
      </c>
      <c r="I375" s="18"/>
      <c r="J375" s="18"/>
      <c r="K375" s="18"/>
      <c r="L375" s="13">
        <f t="shared" si="23"/>
        <v>118037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913043</v>
      </c>
      <c r="I377" s="18"/>
      <c r="J377" s="18"/>
      <c r="K377" s="18"/>
      <c r="L377" s="13">
        <f t="shared" si="23"/>
        <v>913043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1031080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1031080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25000</v>
      </c>
      <c r="H395" s="18"/>
      <c r="I395" s="18"/>
      <c r="J395" s="24" t="s">
        <v>289</v>
      </c>
      <c r="K395" s="24" t="s">
        <v>289</v>
      </c>
      <c r="L395" s="56">
        <f t="shared" si="26"/>
        <v>25000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/>
      <c r="I396" s="18"/>
      <c r="J396" s="24" t="s">
        <v>289</v>
      </c>
      <c r="K396" s="24" t="s">
        <v>289</v>
      </c>
      <c r="L396" s="56">
        <f t="shared" si="26"/>
        <v>25000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50000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50000</v>
      </c>
      <c r="G440" s="18"/>
      <c r="H440" s="18"/>
      <c r="I440" s="56">
        <f t="shared" si="33"/>
        <v>50000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50000</v>
      </c>
      <c r="G445" s="13">
        <f>SUM(G438:G444)</f>
        <v>0</v>
      </c>
      <c r="H445" s="13">
        <f>SUM(H438:H444)</f>
        <v>0</v>
      </c>
      <c r="I445" s="13">
        <f>SUM(I438:I444)</f>
        <v>50000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>
        <v>50000</v>
      </c>
      <c r="G454" s="18"/>
      <c r="H454" s="18"/>
      <c r="I454" s="56">
        <f t="shared" si="34"/>
        <v>50000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50000</v>
      </c>
      <c r="G459" s="83">
        <f>SUM(G453:G458)</f>
        <v>0</v>
      </c>
      <c r="H459" s="83">
        <f>SUM(H453:H458)</f>
        <v>0</v>
      </c>
      <c r="I459" s="83">
        <f>SUM(I453:I458)</f>
        <v>50000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50000</v>
      </c>
      <c r="G460" s="42">
        <f>G451+G459</f>
        <v>0</v>
      </c>
      <c r="H460" s="42">
        <f>H451+H459</f>
        <v>0</v>
      </c>
      <c r="I460" s="42">
        <f>I451+I459</f>
        <v>50000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813294</f>
        <v>813294</v>
      </c>
      <c r="G464" s="18">
        <v>739</v>
      </c>
      <c r="H464" s="18"/>
      <c r="I464" s="18">
        <v>1104057</v>
      </c>
      <c r="J464" s="18"/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10579838</v>
      </c>
      <c r="G467" s="18">
        <v>177797</v>
      </c>
      <c r="H467" s="18"/>
      <c r="I467" s="18"/>
      <c r="J467" s="18">
        <v>50000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 t="s">
        <v>910</v>
      </c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10579838</v>
      </c>
      <c r="G469" s="53">
        <f>SUM(G467:G468)</f>
        <v>177797</v>
      </c>
      <c r="H469" s="53">
        <f>SUM(H467:H468)</f>
        <v>0</v>
      </c>
      <c r="I469" s="53">
        <f>SUM(I467:I468)</f>
        <v>0</v>
      </c>
      <c r="J469" s="53">
        <f>SUM(J467:J468)</f>
        <v>50000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10469303</v>
      </c>
      <c r="G471" s="18">
        <v>175349</v>
      </c>
      <c r="H471" s="18"/>
      <c r="I471" s="18">
        <v>1031080</v>
      </c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10469303</v>
      </c>
      <c r="G473" s="53">
        <f>SUM(G471:G472)</f>
        <v>175349</v>
      </c>
      <c r="H473" s="53">
        <f>SUM(H471:H472)</f>
        <v>0</v>
      </c>
      <c r="I473" s="53">
        <f>SUM(I471:I472)</f>
        <v>1031080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923829</v>
      </c>
      <c r="G475" s="53">
        <f>(G464+G469)- G473</f>
        <v>3187</v>
      </c>
      <c r="H475" s="53">
        <f>(H464+H469)- H473</f>
        <v>0</v>
      </c>
      <c r="I475" s="53">
        <f>(I464+I469)- I473</f>
        <v>72977</v>
      </c>
      <c r="J475" s="53">
        <f>(J464+J469)- J473</f>
        <v>50000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5600000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3.9851000000000001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5235000</v>
      </c>
      <c r="G494" s="18"/>
      <c r="H494" s="18"/>
      <c r="I494" s="18"/>
      <c r="J494" s="18"/>
      <c r="K494" s="53">
        <f>SUM(F494:J494)</f>
        <v>5235000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175000</v>
      </c>
      <c r="G495" s="18"/>
      <c r="H495" s="18"/>
      <c r="I495" s="18"/>
      <c r="J495" s="18"/>
      <c r="K495" s="53">
        <f t="shared" ref="K495:K502" si="35">SUM(F495:J495)</f>
        <v>175000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187000</v>
      </c>
      <c r="G496" s="18"/>
      <c r="H496" s="18"/>
      <c r="I496" s="18"/>
      <c r="J496" s="18"/>
      <c r="K496" s="53">
        <f t="shared" si="35"/>
        <v>187000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5060000</v>
      </c>
      <c r="G497" s="205"/>
      <c r="H497" s="205"/>
      <c r="I497" s="205"/>
      <c r="J497" s="205"/>
      <c r="K497" s="206">
        <f t="shared" si="35"/>
        <v>5060000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2647147</v>
      </c>
      <c r="G498" s="18"/>
      <c r="H498" s="18"/>
      <c r="I498" s="18"/>
      <c r="J498" s="18"/>
      <c r="K498" s="53">
        <f t="shared" si="35"/>
        <v>2647147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7707147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7707147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180000</v>
      </c>
      <c r="G500" s="205"/>
      <c r="H500" s="205"/>
      <c r="I500" s="205"/>
      <c r="J500" s="205"/>
      <c r="K500" s="206">
        <f t="shared" si="35"/>
        <v>180000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226938</v>
      </c>
      <c r="G501" s="18"/>
      <c r="H501" s="18"/>
      <c r="I501" s="18"/>
      <c r="J501" s="18"/>
      <c r="K501" s="53">
        <f t="shared" si="35"/>
        <v>226938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406938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406938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688265</v>
      </c>
      <c r="G520" s="18">
        <v>403123</v>
      </c>
      <c r="H520" s="18">
        <v>165193</v>
      </c>
      <c r="I520" s="18">
        <v>9053</v>
      </c>
      <c r="J520" s="18"/>
      <c r="K520" s="18">
        <v>67.900000000000006</v>
      </c>
      <c r="L520" s="88">
        <f>SUM(F520:K520)</f>
        <v>1265701.8999999999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544333</v>
      </c>
      <c r="I522" s="18"/>
      <c r="J522" s="18"/>
      <c r="K522" s="18"/>
      <c r="L522" s="88">
        <f>SUM(F522:K522)</f>
        <v>544333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688265</v>
      </c>
      <c r="G523" s="108">
        <f t="shared" ref="G523:L523" si="36">SUM(G520:G522)</f>
        <v>403123</v>
      </c>
      <c r="H523" s="108">
        <f t="shared" si="36"/>
        <v>709526</v>
      </c>
      <c r="I523" s="108">
        <f t="shared" si="36"/>
        <v>9053</v>
      </c>
      <c r="J523" s="108">
        <f t="shared" si="36"/>
        <v>0</v>
      </c>
      <c r="K523" s="108">
        <f t="shared" si="36"/>
        <v>67.900000000000006</v>
      </c>
      <c r="L523" s="89">
        <f t="shared" si="36"/>
        <v>1810034.9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117534</v>
      </c>
      <c r="G525" s="18">
        <v>51857</v>
      </c>
      <c r="H525" s="18">
        <v>66125</v>
      </c>
      <c r="I525" s="18"/>
      <c r="J525" s="18"/>
      <c r="K525" s="18"/>
      <c r="L525" s="88">
        <f>SUM(F525:K525)</f>
        <v>235516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25182</v>
      </c>
      <c r="I527" s="18"/>
      <c r="J527" s="18"/>
      <c r="K527" s="18"/>
      <c r="L527" s="88">
        <f>SUM(F527:K527)</f>
        <v>25182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117534</v>
      </c>
      <c r="G528" s="89">
        <f t="shared" ref="G528:L528" si="37">SUM(G525:G527)</f>
        <v>51857</v>
      </c>
      <c r="H528" s="89">
        <f t="shared" si="37"/>
        <v>91307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260698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28746.35</v>
      </c>
      <c r="G530" s="18">
        <v>14116.24</v>
      </c>
      <c r="H530" s="18">
        <v>1367.05</v>
      </c>
      <c r="I530" s="18">
        <v>556.14</v>
      </c>
      <c r="J530" s="18"/>
      <c r="K530" s="18"/>
      <c r="L530" s="88">
        <f>SUM(F530:K530)</f>
        <v>44785.78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20228.91</v>
      </c>
      <c r="G532" s="18">
        <v>9933.65</v>
      </c>
      <c r="H532" s="18">
        <v>961.99</v>
      </c>
      <c r="I532" s="18">
        <v>391.35</v>
      </c>
      <c r="J532" s="18"/>
      <c r="K532" s="18"/>
      <c r="L532" s="88">
        <f>SUM(F532:K532)</f>
        <v>31515.899999999998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48975.259999999995</v>
      </c>
      <c r="G533" s="89">
        <f t="shared" ref="G533:L533" si="38">SUM(G530:G532)</f>
        <v>24049.89</v>
      </c>
      <c r="H533" s="89">
        <f t="shared" si="38"/>
        <v>2329.04</v>
      </c>
      <c r="I533" s="89">
        <f t="shared" si="38"/>
        <v>947.49</v>
      </c>
      <c r="J533" s="89">
        <f t="shared" si="38"/>
        <v>0</v>
      </c>
      <c r="K533" s="89">
        <f t="shared" si="38"/>
        <v>0</v>
      </c>
      <c r="L533" s="89">
        <f t="shared" si="38"/>
        <v>76301.679999999993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73647</v>
      </c>
      <c r="I540" s="18"/>
      <c r="J540" s="18"/>
      <c r="K540" s="18"/>
      <c r="L540" s="88">
        <f>SUM(F540:K540)</f>
        <v>73647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16065</v>
      </c>
      <c r="I542" s="18"/>
      <c r="J542" s="18"/>
      <c r="K542" s="18"/>
      <c r="L542" s="88">
        <f>SUM(F542:K542)</f>
        <v>16065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89712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89712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854774.26</v>
      </c>
      <c r="G544" s="89">
        <f t="shared" ref="G544:L544" si="41">G523+G528+G533+G538+G543</f>
        <v>479029.89</v>
      </c>
      <c r="H544" s="89">
        <f t="shared" si="41"/>
        <v>892874.04</v>
      </c>
      <c r="I544" s="89">
        <f t="shared" si="41"/>
        <v>10000.49</v>
      </c>
      <c r="J544" s="89">
        <f t="shared" si="41"/>
        <v>0</v>
      </c>
      <c r="K544" s="89">
        <f t="shared" si="41"/>
        <v>67.900000000000006</v>
      </c>
      <c r="L544" s="89">
        <f t="shared" si="41"/>
        <v>2236746.58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1265701.8999999999</v>
      </c>
      <c r="G548" s="87">
        <f>L525</f>
        <v>235516</v>
      </c>
      <c r="H548" s="87">
        <f>L530</f>
        <v>44785.78</v>
      </c>
      <c r="I548" s="87">
        <f>L535</f>
        <v>0</v>
      </c>
      <c r="J548" s="87">
        <f>L540</f>
        <v>73647</v>
      </c>
      <c r="K548" s="87">
        <f>SUM(F548:J548)</f>
        <v>1619650.68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544333</v>
      </c>
      <c r="G550" s="87">
        <f>L527</f>
        <v>25182</v>
      </c>
      <c r="H550" s="87">
        <f>L532</f>
        <v>31515.899999999998</v>
      </c>
      <c r="I550" s="87">
        <f>L537</f>
        <v>0</v>
      </c>
      <c r="J550" s="87">
        <f>L542</f>
        <v>16065</v>
      </c>
      <c r="K550" s="87">
        <f>SUM(F550:J550)</f>
        <v>617095.9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1810034.9</v>
      </c>
      <c r="G551" s="89">
        <f t="shared" si="42"/>
        <v>260698</v>
      </c>
      <c r="H551" s="89">
        <f t="shared" si="42"/>
        <v>76301.679999999993</v>
      </c>
      <c r="I551" s="89">
        <f t="shared" si="42"/>
        <v>0</v>
      </c>
      <c r="J551" s="89">
        <f t="shared" si="42"/>
        <v>89712</v>
      </c>
      <c r="K551" s="89">
        <f t="shared" si="42"/>
        <v>2236746.58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11115</v>
      </c>
      <c r="I574" s="87">
        <f>SUM(F574:H574)</f>
        <v>11115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3014939</v>
      </c>
      <c r="I576" s="87">
        <f t="shared" si="47"/>
        <v>3014939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208704</v>
      </c>
      <c r="I580" s="87">
        <f t="shared" si="47"/>
        <v>208704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2160</v>
      </c>
      <c r="G581" s="18"/>
      <c r="H581" s="18">
        <v>288731</v>
      </c>
      <c r="I581" s="87">
        <f t="shared" si="47"/>
        <v>290891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195551</v>
      </c>
      <c r="I590" s="18"/>
      <c r="J590" s="18">
        <v>82631</v>
      </c>
      <c r="K590" s="104">
        <f t="shared" ref="K590:K596" si="48">SUM(H590:J590)</f>
        <v>278182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73647</v>
      </c>
      <c r="I591" s="18"/>
      <c r="J591" s="18">
        <v>16065</v>
      </c>
      <c r="K591" s="104">
        <f t="shared" si="48"/>
        <v>89712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2102</v>
      </c>
      <c r="I593" s="18"/>
      <c r="J593" s="18"/>
      <c r="K593" s="104">
        <f t="shared" si="48"/>
        <v>2102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644</v>
      </c>
      <c r="I594" s="18"/>
      <c r="J594" s="18"/>
      <c r="K594" s="104">
        <f t="shared" si="48"/>
        <v>644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271944</v>
      </c>
      <c r="I597" s="108">
        <f>SUM(I590:I596)</f>
        <v>0</v>
      </c>
      <c r="J597" s="108">
        <f>SUM(J590:J596)</f>
        <v>98696</v>
      </c>
      <c r="K597" s="108">
        <f>SUM(K590:K596)</f>
        <v>370640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69154</v>
      </c>
      <c r="I603" s="18"/>
      <c r="J603" s="18"/>
      <c r="K603" s="104">
        <f>SUM(H603:J603)</f>
        <v>69154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69154</v>
      </c>
      <c r="I604" s="108">
        <f>SUM(I601:I603)</f>
        <v>0</v>
      </c>
      <c r="J604" s="108">
        <f>SUM(J601:J603)</f>
        <v>0</v>
      </c>
      <c r="K604" s="108">
        <f>SUM(K601:K603)</f>
        <v>69154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13942.59+9944.95+5400</f>
        <v>29287.54</v>
      </c>
      <c r="G610" s="18">
        <f>2240.5+475.2+2699.29</f>
        <v>5414.99</v>
      </c>
      <c r="H610" s="18"/>
      <c r="I610" s="18"/>
      <c r="J610" s="18"/>
      <c r="K610" s="18"/>
      <c r="L610" s="88">
        <f>SUM(F610:K610)</f>
        <v>34702.53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29287.54</v>
      </c>
      <c r="G613" s="108">
        <f t="shared" si="49"/>
        <v>5414.99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34702.53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1123417</v>
      </c>
      <c r="H616" s="109">
        <f>SUM(F51)</f>
        <v>1123417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9973</v>
      </c>
      <c r="H617" s="109">
        <f>SUM(G51)</f>
        <v>9973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72977</v>
      </c>
      <c r="H619" s="109">
        <f>SUM(I51)</f>
        <v>72977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50000</v>
      </c>
      <c r="H620" s="109">
        <f>SUM(J51)</f>
        <v>50000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923829</v>
      </c>
      <c r="H621" s="109">
        <f>F475</f>
        <v>923829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3187</v>
      </c>
      <c r="H622" s="109">
        <f>G475</f>
        <v>3187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72977</v>
      </c>
      <c r="H624" s="109">
        <f>I475</f>
        <v>72977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50000</v>
      </c>
      <c r="H625" s="109">
        <f>J475</f>
        <v>50000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10579838</v>
      </c>
      <c r="H626" s="104">
        <f>SUM(F467)</f>
        <v>10579838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177797</v>
      </c>
      <c r="H627" s="104">
        <f>SUM(G467)</f>
        <v>177797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50000</v>
      </c>
      <c r="H630" s="104">
        <f>SUM(J467)</f>
        <v>50000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10469303</v>
      </c>
      <c r="H631" s="104">
        <f>SUM(F471)</f>
        <v>10469303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93609</v>
      </c>
      <c r="H633" s="104">
        <f>I368</f>
        <v>93609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175349</v>
      </c>
      <c r="H634" s="104">
        <f>SUM(G471)</f>
        <v>175349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1031080</v>
      </c>
      <c r="H635" s="104">
        <f>SUM(I471)</f>
        <v>1031080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50000</v>
      </c>
      <c r="H636" s="164">
        <f>SUM(J467)</f>
        <v>50000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50000</v>
      </c>
      <c r="H638" s="104">
        <f>SUM(F460)</f>
        <v>50000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50000</v>
      </c>
      <c r="H641" s="104">
        <f>SUM(I460)</f>
        <v>50000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50000</v>
      </c>
      <c r="H645" s="104">
        <f>L407</f>
        <v>50000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370640</v>
      </c>
      <c r="H646" s="104">
        <f>L207+L225+L243</f>
        <v>370640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69154</v>
      </c>
      <c r="H647" s="104">
        <f>(J256+J337)-(J254+J335)</f>
        <v>69154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271944</v>
      </c>
      <c r="H648" s="104">
        <f>H597</f>
        <v>271944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98696</v>
      </c>
      <c r="H650" s="104">
        <f>J597</f>
        <v>98696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6350730</v>
      </c>
      <c r="G659" s="19">
        <f>(L228+L308+L358)</f>
        <v>0</v>
      </c>
      <c r="H659" s="19">
        <f>(L246+L327+L359)</f>
        <v>3836294</v>
      </c>
      <c r="I659" s="19">
        <f>SUM(F659:H659)</f>
        <v>10187024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107743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107743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271944</v>
      </c>
      <c r="G661" s="19">
        <f>(L225+L305)-(J225+J305)</f>
        <v>0</v>
      </c>
      <c r="H661" s="19">
        <f>(L243+L324)-(J243+J324)</f>
        <v>98696</v>
      </c>
      <c r="I661" s="19">
        <f>SUM(F661:H661)</f>
        <v>370640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106016.53</v>
      </c>
      <c r="G662" s="200">
        <f>SUM(G574:G586)+SUM(I601:I603)+L611</f>
        <v>0</v>
      </c>
      <c r="H662" s="200">
        <f>SUM(H574:H586)+SUM(J601:J603)+L612</f>
        <v>3523489</v>
      </c>
      <c r="I662" s="19">
        <f>SUM(F662:H662)</f>
        <v>3629505.53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5865026.4699999997</v>
      </c>
      <c r="G663" s="19">
        <f>G659-SUM(G660:G662)</f>
        <v>0</v>
      </c>
      <c r="H663" s="19">
        <f>H659-SUM(H660:H662)</f>
        <v>214109</v>
      </c>
      <c r="I663" s="19">
        <f>I659-SUM(I660:I662)</f>
        <v>6079135.4700000007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418.36</v>
      </c>
      <c r="G664" s="249"/>
      <c r="H664" s="249"/>
      <c r="I664" s="19">
        <f>SUM(F664:H664)</f>
        <v>418.36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14019.09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14530.87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-214109</v>
      </c>
      <c r="I668" s="19">
        <f>SUM(F668:H668)</f>
        <v>-214109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14019.09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14019.09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>&amp;CDOE 25 for 2011-2012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H29" sqref="H2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STRAFFORD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1807863</v>
      </c>
      <c r="C9" s="230">
        <f>'DOE25'!G196+'DOE25'!G214+'DOE25'!G232+'DOE25'!G275+'DOE25'!G294+'DOE25'!G313</f>
        <v>828268</v>
      </c>
    </row>
    <row r="10" spans="1:3">
      <c r="A10" t="s">
        <v>779</v>
      </c>
      <c r="B10" s="241">
        <v>1751072</v>
      </c>
      <c r="C10" s="241">
        <v>823923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>
        <v>56791</v>
      </c>
      <c r="C12" s="241">
        <v>4345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1807863</v>
      </c>
      <c r="C13" s="232">
        <f>SUM(C10:C12)</f>
        <v>828268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688265</v>
      </c>
      <c r="C18" s="230">
        <f>'DOE25'!G197+'DOE25'!G215+'DOE25'!G233+'DOE25'!G276+'DOE25'!G295+'DOE25'!G314</f>
        <v>403123</v>
      </c>
    </row>
    <row r="19" spans="1:3">
      <c r="A19" t="s">
        <v>779</v>
      </c>
      <c r="B19" s="241">
        <v>257921</v>
      </c>
      <c r="C19" s="241">
        <v>126063</v>
      </c>
    </row>
    <row r="20" spans="1:3">
      <c r="A20" t="s">
        <v>780</v>
      </c>
      <c r="B20" s="241">
        <v>379024</v>
      </c>
      <c r="C20" s="241">
        <v>273823</v>
      </c>
    </row>
    <row r="21" spans="1:3">
      <c r="A21" t="s">
        <v>781</v>
      </c>
      <c r="B21" s="241">
        <v>51320</v>
      </c>
      <c r="C21" s="241">
        <v>3237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688265</v>
      </c>
      <c r="C22" s="232">
        <f>SUM(C19:C21)</f>
        <v>403123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40642</v>
      </c>
      <c r="C36" s="236">
        <f>'DOE25'!G199+'DOE25'!G217+'DOE25'!G235+'DOE25'!G278+'DOE25'!G297+'DOE25'!G316</f>
        <v>7217</v>
      </c>
    </row>
    <row r="37" spans="1:3">
      <c r="A37" t="s">
        <v>779</v>
      </c>
      <c r="B37" s="241">
        <v>32784</v>
      </c>
      <c r="C37" s="241">
        <v>6062</v>
      </c>
    </row>
    <row r="38" spans="1:3">
      <c r="A38" t="s">
        <v>780</v>
      </c>
      <c r="B38" s="241">
        <v>5883</v>
      </c>
      <c r="C38" s="241">
        <v>1004</v>
      </c>
    </row>
    <row r="39" spans="1:3">
      <c r="A39" t="s">
        <v>781</v>
      </c>
      <c r="B39" s="241">
        <v>1975</v>
      </c>
      <c r="C39" s="241">
        <v>151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40642</v>
      </c>
      <c r="C40" s="232">
        <f>SUM(C37:C39)</f>
        <v>7217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6" activePane="bottomLeft" state="frozen"/>
      <selection pane="bottomLeft" activeCell="N20" sqref="N20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STRAFFORD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7649017</v>
      </c>
      <c r="D5" s="20">
        <f>SUM('DOE25'!L196:L199)+SUM('DOE25'!L214:L217)+SUM('DOE25'!L232:L235)-F5-G5</f>
        <v>7601963</v>
      </c>
      <c r="E5" s="244"/>
      <c r="F5" s="256">
        <f>SUM('DOE25'!J196:J199)+SUM('DOE25'!J214:J217)+SUM('DOE25'!J232:J235)</f>
        <v>46045</v>
      </c>
      <c r="G5" s="53">
        <f>SUM('DOE25'!K196:K199)+SUM('DOE25'!K214:K217)+SUM('DOE25'!K232:K235)</f>
        <v>1009</v>
      </c>
      <c r="H5" s="260"/>
    </row>
    <row r="6" spans="1:9">
      <c r="A6" s="32">
        <v>2100</v>
      </c>
      <c r="B6" t="s">
        <v>801</v>
      </c>
      <c r="C6" s="246">
        <f t="shared" si="0"/>
        <v>487087</v>
      </c>
      <c r="D6" s="20">
        <f>'DOE25'!L201+'DOE25'!L219+'DOE25'!L237-F6-G6</f>
        <v>486302</v>
      </c>
      <c r="E6" s="244"/>
      <c r="F6" s="256">
        <f>'DOE25'!J201+'DOE25'!J219+'DOE25'!J237</f>
        <v>0</v>
      </c>
      <c r="G6" s="53">
        <f>'DOE25'!K201+'DOE25'!K219+'DOE25'!K237</f>
        <v>785</v>
      </c>
      <c r="H6" s="260"/>
    </row>
    <row r="7" spans="1:9">
      <c r="A7" s="32">
        <v>2200</v>
      </c>
      <c r="B7" t="s">
        <v>834</v>
      </c>
      <c r="C7" s="246">
        <f t="shared" si="0"/>
        <v>194934</v>
      </c>
      <c r="D7" s="20">
        <f>'DOE25'!L202+'DOE25'!L220+'DOE25'!L238-F7-G7</f>
        <v>194934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244819</v>
      </c>
      <c r="D8" s="244"/>
      <c r="E8" s="20">
        <f>'DOE25'!L203+'DOE25'!L221+'DOE25'!L239-F8-G8-D9-D11</f>
        <v>244326</v>
      </c>
      <c r="F8" s="256">
        <f>'DOE25'!J203+'DOE25'!J221+'DOE25'!J239</f>
        <v>0</v>
      </c>
      <c r="G8" s="53">
        <f>'DOE25'!K203+'DOE25'!K221+'DOE25'!K239</f>
        <v>493</v>
      </c>
      <c r="H8" s="260"/>
    </row>
    <row r="9" spans="1:9">
      <c r="A9" s="32">
        <v>2310</v>
      </c>
      <c r="B9" t="s">
        <v>818</v>
      </c>
      <c r="C9" s="246">
        <f t="shared" si="0"/>
        <v>34879</v>
      </c>
      <c r="D9" s="245">
        <v>34879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10000</v>
      </c>
      <c r="D10" s="244"/>
      <c r="E10" s="245">
        <v>10000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70717</v>
      </c>
      <c r="D11" s="245">
        <v>70717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408853</v>
      </c>
      <c r="D12" s="20">
        <f>'DOE25'!L204+'DOE25'!L222+'DOE25'!L240-F12-G12</f>
        <v>406610</v>
      </c>
      <c r="E12" s="244"/>
      <c r="F12" s="256">
        <f>'DOE25'!J204+'DOE25'!J222+'DOE25'!J240</f>
        <v>0</v>
      </c>
      <c r="G12" s="53">
        <f>'DOE25'!K204+'DOE25'!K222+'DOE25'!K240</f>
        <v>2243</v>
      </c>
      <c r="H12" s="260"/>
    </row>
    <row r="13" spans="1:9">
      <c r="A13" s="32">
        <v>2500</v>
      </c>
      <c r="B13" t="s">
        <v>803</v>
      </c>
      <c r="C13" s="246">
        <f t="shared" si="0"/>
        <v>67316</v>
      </c>
      <c r="D13" s="244"/>
      <c r="E13" s="20">
        <f>'DOE25'!L205+'DOE25'!L223+'DOE25'!L241-F13-G13</f>
        <v>67316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483413</v>
      </c>
      <c r="D14" s="20">
        <f>'DOE25'!L206+'DOE25'!L224+'DOE25'!L242-F14-G14</f>
        <v>460304</v>
      </c>
      <c r="E14" s="244"/>
      <c r="F14" s="256">
        <f>'DOE25'!J206+'DOE25'!J224+'DOE25'!J242</f>
        <v>23109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370640</v>
      </c>
      <c r="D15" s="20">
        <f>'DOE25'!L207+'DOE25'!L225+'DOE25'!L243-F15-G15</f>
        <v>370640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407628</v>
      </c>
      <c r="D25" s="244"/>
      <c r="E25" s="244"/>
      <c r="F25" s="259"/>
      <c r="G25" s="257"/>
      <c r="H25" s="258">
        <f>'DOE25'!L259+'DOE25'!L260+'DOE25'!L340+'DOE25'!L341</f>
        <v>407628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83363</v>
      </c>
      <c r="D29" s="20">
        <f>'DOE25'!L357+'DOE25'!L358+'DOE25'!L359-'DOE25'!I366-F29-G29</f>
        <v>83317</v>
      </c>
      <c r="E29" s="244"/>
      <c r="F29" s="256">
        <f>'DOE25'!J357+'DOE25'!J358+'DOE25'!J359</f>
        <v>0</v>
      </c>
      <c r="G29" s="53">
        <f>'DOE25'!K357+'DOE25'!K358+'DOE25'!K359</f>
        <v>46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9709666</v>
      </c>
      <c r="E33" s="247">
        <f>SUM(E5:E31)</f>
        <v>321642</v>
      </c>
      <c r="F33" s="247">
        <f>SUM(F5:F31)</f>
        <v>69154</v>
      </c>
      <c r="G33" s="247">
        <f>SUM(G5:G31)</f>
        <v>4576</v>
      </c>
      <c r="H33" s="247">
        <f>SUM(H5:H31)</f>
        <v>407628</v>
      </c>
    </row>
    <row r="35" spans="2:8" ht="12" thickBot="1">
      <c r="B35" s="254" t="s">
        <v>847</v>
      </c>
      <c r="D35" s="255">
        <f>E33</f>
        <v>321642</v>
      </c>
      <c r="E35" s="250"/>
    </row>
    <row r="36" spans="2:8" ht="12" thickTop="1">
      <c r="B36" t="s">
        <v>815</v>
      </c>
      <c r="D36" s="20">
        <f>D33</f>
        <v>9709666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90" zoomScaleNormal="90" workbookViewId="0">
      <pane ySplit="2" topLeftCell="A72" activePane="bottomLeft" state="frozen"/>
      <selection pane="bottomLeft" activeCell="D95" sqref="D95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STRAFFORD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674691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72977</v>
      </c>
      <c r="G11" s="95">
        <f>'DOE25'!J12</f>
        <v>50000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448726</v>
      </c>
      <c r="D12" s="95">
        <f>'DOE25'!G13</f>
        <v>8842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1131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1123417</v>
      </c>
      <c r="D18" s="41">
        <f>SUM(D8:D17)</f>
        <v>9973</v>
      </c>
      <c r="E18" s="41">
        <f>SUM(E8:E17)</f>
        <v>0</v>
      </c>
      <c r="F18" s="41">
        <f>SUM(F8:F17)</f>
        <v>72977</v>
      </c>
      <c r="G18" s="41">
        <f>SUM(G8:G17)</f>
        <v>50000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66191</v>
      </c>
      <c r="D21" s="95">
        <f>'DOE25'!G22</f>
        <v>6786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20607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47553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65237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199588</v>
      </c>
      <c r="D31" s="41">
        <f>SUM(D21:D30)</f>
        <v>6786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1131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2056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72977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9604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50000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455549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408676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923829</v>
      </c>
      <c r="D49" s="41">
        <f>SUM(D34:D48)</f>
        <v>3187</v>
      </c>
      <c r="E49" s="41">
        <f>SUM(E34:E48)</f>
        <v>0</v>
      </c>
      <c r="F49" s="41">
        <f>SUM(F34:F48)</f>
        <v>72977</v>
      </c>
      <c r="G49" s="41">
        <f>SUM(G34:G48)</f>
        <v>50000</v>
      </c>
      <c r="H49" s="124"/>
      <c r="I49" s="124"/>
    </row>
    <row r="50" spans="1:9" ht="12" thickTop="1">
      <c r="A50" s="38" t="s">
        <v>895</v>
      </c>
      <c r="B50" s="2"/>
      <c r="C50" s="41">
        <f>C49+C31</f>
        <v>1123417</v>
      </c>
      <c r="D50" s="41">
        <f>D49+D31</f>
        <v>9973</v>
      </c>
      <c r="E50" s="41">
        <f>E49+E31</f>
        <v>0</v>
      </c>
      <c r="F50" s="41">
        <f>F49+F31</f>
        <v>72977</v>
      </c>
      <c r="G50" s="41">
        <f>G49+G31</f>
        <v>50000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7022286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3696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1079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107743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3520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8295</v>
      </c>
      <c r="D61" s="130">
        <f>SUM(D56:D60)</f>
        <v>107743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7030581</v>
      </c>
      <c r="D62" s="22">
        <f>D55+D61</f>
        <v>107743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2277212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1093069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1973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3372254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57832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20529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57832</v>
      </c>
      <c r="D77" s="130">
        <f>SUM(D71:D76)</f>
        <v>20529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3430086</v>
      </c>
      <c r="D80" s="130">
        <f>SUM(D78:D79)+D77+D69</f>
        <v>20529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119171</v>
      </c>
      <c r="D87" s="95">
        <f>SUM('DOE25'!G152:G160)</f>
        <v>49525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119171</v>
      </c>
      <c r="D90" s="131">
        <f>SUM(D84:D89)</f>
        <v>49525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>
      <c r="A103" s="33" t="s">
        <v>765</v>
      </c>
      <c r="C103" s="86">
        <f>C62+C80+C90+C102</f>
        <v>10579838</v>
      </c>
      <c r="D103" s="86">
        <f>D62+D80+D90+D102</f>
        <v>177797</v>
      </c>
      <c r="E103" s="86">
        <f>E62+E80+E90+E102</f>
        <v>0</v>
      </c>
      <c r="F103" s="86">
        <f>F62+F80+F90+F102</f>
        <v>0</v>
      </c>
      <c r="G103" s="86">
        <f>G62+G80+G102</f>
        <v>50000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5784938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1810035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54044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7649017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487087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194934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350415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408853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67316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483413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370640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175349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2362658</v>
      </c>
      <c r="D127" s="86">
        <f>SUM(D117:D126)</f>
        <v>175349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1031080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174500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233128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50000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457628</v>
      </c>
      <c r="D143" s="141">
        <f>SUM(D129:D142)</f>
        <v>0</v>
      </c>
      <c r="E143" s="141">
        <f>SUM(E129:E142)</f>
        <v>0</v>
      </c>
      <c r="F143" s="141">
        <f>SUM(F129:F142)</f>
        <v>1031080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10469303</v>
      </c>
      <c r="D144" s="86">
        <f>(D114+D127+D143)</f>
        <v>175349</v>
      </c>
      <c r="E144" s="86">
        <f>(E114+E127+E143)</f>
        <v>0</v>
      </c>
      <c r="F144" s="86">
        <f>(F114+F127+F143)</f>
        <v>1031080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08/30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5600000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3.9851000000000001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5235000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5235000</v>
      </c>
    </row>
    <row r="156" spans="1:9">
      <c r="A156" s="22" t="s">
        <v>33</v>
      </c>
      <c r="B156" s="137">
        <f>'DOE25'!F495</f>
        <v>175000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175000</v>
      </c>
    </row>
    <row r="157" spans="1:9">
      <c r="A157" s="22" t="s">
        <v>34</v>
      </c>
      <c r="B157" s="137">
        <f>'DOE25'!F496</f>
        <v>187000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187000</v>
      </c>
    </row>
    <row r="158" spans="1:9">
      <c r="A158" s="22" t="s">
        <v>35</v>
      </c>
      <c r="B158" s="137">
        <f>'DOE25'!F497</f>
        <v>5060000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5060000</v>
      </c>
    </row>
    <row r="159" spans="1:9">
      <c r="A159" s="22" t="s">
        <v>36</v>
      </c>
      <c r="B159" s="137">
        <f>'DOE25'!F498</f>
        <v>2647147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2647147</v>
      </c>
    </row>
    <row r="160" spans="1:9">
      <c r="A160" s="22" t="s">
        <v>37</v>
      </c>
      <c r="B160" s="137">
        <f>'DOE25'!F499</f>
        <v>7707147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7707147</v>
      </c>
    </row>
    <row r="161" spans="1:7">
      <c r="A161" s="22" t="s">
        <v>38</v>
      </c>
      <c r="B161" s="137">
        <f>'DOE25'!F500</f>
        <v>180000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180000</v>
      </c>
    </row>
    <row r="162" spans="1:7">
      <c r="A162" s="22" t="s">
        <v>39</v>
      </c>
      <c r="B162" s="137">
        <f>'DOE25'!F501</f>
        <v>226938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226938</v>
      </c>
    </row>
    <row r="163" spans="1:7">
      <c r="A163" s="22" t="s">
        <v>246</v>
      </c>
      <c r="B163" s="137">
        <f>'DOE25'!F502</f>
        <v>406938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406938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I32" sqref="I32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STRAFFORD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14019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14019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5784938</v>
      </c>
      <c r="D10" s="182">
        <f>ROUND((C10/$C$28)*100,1)</f>
        <v>56.1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1810035</v>
      </c>
      <c r="D11" s="182">
        <f>ROUND((C11/$C$28)*100,1)</f>
        <v>17.600000000000001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54044</v>
      </c>
      <c r="D13" s="182">
        <f>ROUND((C13/$C$28)*100,1)</f>
        <v>0.5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487087</v>
      </c>
      <c r="D15" s="182">
        <f t="shared" ref="D15:D27" si="0">ROUND((C15/$C$28)*100,1)</f>
        <v>4.7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194934</v>
      </c>
      <c r="D16" s="182">
        <f t="shared" si="0"/>
        <v>1.9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350415</v>
      </c>
      <c r="D17" s="182">
        <f t="shared" si="0"/>
        <v>3.4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408853</v>
      </c>
      <c r="D18" s="182">
        <f t="shared" si="0"/>
        <v>4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67316</v>
      </c>
      <c r="D19" s="182">
        <f t="shared" si="0"/>
        <v>0.7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483413</v>
      </c>
      <c r="D20" s="182">
        <f t="shared" si="0"/>
        <v>4.7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370640</v>
      </c>
      <c r="D21" s="182">
        <f t="shared" si="0"/>
        <v>3.6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233128</v>
      </c>
      <c r="D25" s="182">
        <f t="shared" si="0"/>
        <v>2.2999999999999998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67606</v>
      </c>
      <c r="D27" s="182">
        <f t="shared" si="0"/>
        <v>0.7</v>
      </c>
    </row>
    <row r="28" spans="1:4">
      <c r="B28" s="187" t="s">
        <v>723</v>
      </c>
      <c r="C28" s="180">
        <f>SUM(C10:C27)</f>
        <v>10312409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1031080</v>
      </c>
    </row>
    <row r="30" spans="1:4">
      <c r="B30" s="187" t="s">
        <v>729</v>
      </c>
      <c r="C30" s="180">
        <f>SUM(C28:C29)</f>
        <v>11343489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174500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7022286</v>
      </c>
      <c r="D35" s="182">
        <f t="shared" ref="D35:D40" si="1">ROUND((C35/$C$41)*100,1)</f>
        <v>65.900000000000006</v>
      </c>
    </row>
    <row r="36" spans="1:4">
      <c r="B36" s="185" t="s">
        <v>743</v>
      </c>
      <c r="C36" s="179">
        <f>SUM('DOE25'!F111:J111)-SUM('DOE25'!G96:G109)+('DOE25'!F173+'DOE25'!F174+'DOE25'!I173+'DOE25'!I174)-C35</f>
        <v>8295</v>
      </c>
      <c r="D36" s="182">
        <f t="shared" si="1"/>
        <v>0.1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3372254</v>
      </c>
      <c r="D37" s="182">
        <f t="shared" si="1"/>
        <v>31.7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78361</v>
      </c>
      <c r="D38" s="182">
        <f t="shared" si="1"/>
        <v>0.7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168696</v>
      </c>
      <c r="D39" s="182">
        <f t="shared" si="1"/>
        <v>1.6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10649892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13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STRAFFORD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2012-11-09T14:11:15Z</cp:lastPrinted>
  <dcterms:created xsi:type="dcterms:W3CDTF">1997-12-04T19:04:30Z</dcterms:created>
  <dcterms:modified xsi:type="dcterms:W3CDTF">2013-05-30T14:38:09Z</dcterms:modified>
</cp:coreProperties>
</file>