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45" i="1" l="1"/>
  <c r="D9" i="13" l="1"/>
  <c r="E10" i="13"/>
  <c r="H222" i="1"/>
  <c r="H243" i="1"/>
  <c r="H207" i="1"/>
  <c r="H590" i="1"/>
  <c r="J590" i="1"/>
  <c r="I590" i="1"/>
  <c r="H578" i="1"/>
  <c r="G578" i="1"/>
  <c r="F578" i="1"/>
  <c r="H196" i="1"/>
  <c r="F574" i="1"/>
  <c r="H574" i="1"/>
  <c r="G574" i="1"/>
  <c r="H522" i="1"/>
  <c r="H521" i="1"/>
  <c r="H520" i="1"/>
  <c r="I240" i="1"/>
  <c r="H242" i="1"/>
  <c r="H241" i="1"/>
  <c r="H240" i="1"/>
  <c r="H239" i="1"/>
  <c r="H237" i="1"/>
  <c r="H233" i="1"/>
  <c r="H232" i="1"/>
  <c r="I222" i="1"/>
  <c r="H225" i="1"/>
  <c r="H224" i="1"/>
  <c r="H223" i="1"/>
  <c r="H221" i="1"/>
  <c r="H219" i="1"/>
  <c r="H215" i="1"/>
  <c r="H214" i="1"/>
  <c r="I204" i="1"/>
  <c r="H206" i="1"/>
  <c r="H205" i="1"/>
  <c r="H204" i="1"/>
  <c r="H203" i="1"/>
  <c r="H201" i="1"/>
  <c r="H197" i="1"/>
  <c r="F116" i="1"/>
  <c r="F118" i="1"/>
  <c r="F117" i="1"/>
  <c r="F56" i="1"/>
  <c r="G455" i="1"/>
  <c r="F455" i="1"/>
  <c r="F49" i="1"/>
  <c r="F23" i="1"/>
  <c r="F24" i="1"/>
  <c r="F12" i="1"/>
  <c r="F109" i="1"/>
  <c r="F95" i="1"/>
  <c r="F14" i="1"/>
  <c r="F13" i="1"/>
  <c r="F9" i="1"/>
  <c r="F471" i="1"/>
  <c r="F467" i="1"/>
  <c r="F464" i="1"/>
  <c r="K265" i="1"/>
  <c r="J95" i="1"/>
  <c r="J178" i="1"/>
  <c r="F441" i="1"/>
  <c r="J468" i="1"/>
  <c r="J467" i="1"/>
  <c r="G441" i="1"/>
  <c r="F440" i="1"/>
  <c r="H396" i="1"/>
  <c r="H395" i="1"/>
  <c r="G396" i="1"/>
  <c r="G395" i="1"/>
  <c r="J464" i="1"/>
  <c r="H471" i="1"/>
  <c r="H467" i="1"/>
  <c r="H464" i="1"/>
  <c r="H280" i="1"/>
  <c r="H276" i="1"/>
  <c r="H158" i="1"/>
  <c r="H22" i="1"/>
  <c r="H13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G33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A22" i="12" s="1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/>
  <c r="L611" i="1"/>
  <c r="G662" i="1"/>
  <c r="L610" i="1"/>
  <c r="F662" i="1"/>
  <c r="I662" i="1" s="1"/>
  <c r="C40" i="10"/>
  <c r="F59" i="1"/>
  <c r="G59" i="1"/>
  <c r="H59" i="1"/>
  <c r="I59" i="1"/>
  <c r="F78" i="1"/>
  <c r="F93" i="1"/>
  <c r="F110" i="1"/>
  <c r="G110" i="1"/>
  <c r="H78" i="1"/>
  <c r="H93" i="1"/>
  <c r="H110" i="1"/>
  <c r="I110" i="1"/>
  <c r="I111" i="1"/>
  <c r="J110" i="1"/>
  <c r="J111" i="1"/>
  <c r="F120" i="1"/>
  <c r="F135" i="1"/>
  <c r="G120" i="1"/>
  <c r="G135" i="1"/>
  <c r="G139" i="1" s="1"/>
  <c r="H120" i="1"/>
  <c r="H135" i="1"/>
  <c r="I120" i="1"/>
  <c r="I135" i="1"/>
  <c r="J120" i="1"/>
  <c r="J135" i="1"/>
  <c r="F146" i="1"/>
  <c r="F161" i="1"/>
  <c r="G146" i="1"/>
  <c r="G161" i="1"/>
  <c r="G168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J192" i="1" s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I337" i="1" s="1"/>
  <c r="I351" i="1" s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I433" i="1" s="1"/>
  <c r="J432" i="1"/>
  <c r="F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J641" i="1" s="1"/>
  <c r="G642" i="1"/>
  <c r="H642" i="1"/>
  <c r="G643" i="1"/>
  <c r="H643" i="1"/>
  <c r="G644" i="1"/>
  <c r="H644" i="1"/>
  <c r="H646" i="1"/>
  <c r="G649" i="1"/>
  <c r="H649" i="1"/>
  <c r="G650" i="1"/>
  <c r="G651" i="1"/>
  <c r="H651" i="1"/>
  <c r="J651" i="1" s="1"/>
  <c r="G652" i="1"/>
  <c r="H652" i="1"/>
  <c r="J652" i="1" s="1"/>
  <c r="G653" i="1"/>
  <c r="H653" i="1"/>
  <c r="H654" i="1"/>
  <c r="J351" i="1"/>
  <c r="F191" i="1"/>
  <c r="L255" i="1"/>
  <c r="L256" i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H671" i="1" s="1"/>
  <c r="C6" i="10" s="1"/>
  <c r="L350" i="1"/>
  <c r="I661" i="1"/>
  <c r="L289" i="1"/>
  <c r="F659" i="1" s="1"/>
  <c r="F663" i="1" s="1"/>
  <c r="F671" i="1" s="1"/>
  <c r="C4" i="10" s="1"/>
  <c r="A31" i="12"/>
  <c r="C69" i="2"/>
  <c r="A40" i="12"/>
  <c r="D12" i="13"/>
  <c r="C12" i="13" s="1"/>
  <c r="G8" i="2"/>
  <c r="G161" i="2"/>
  <c r="D61" i="2"/>
  <c r="D62" i="2" s="1"/>
  <c r="E49" i="2"/>
  <c r="D18" i="13"/>
  <c r="C18" i="13"/>
  <c r="D15" i="13"/>
  <c r="C15" i="13"/>
  <c r="D7" i="13"/>
  <c r="F102" i="2"/>
  <c r="D18" i="2"/>
  <c r="E18" i="2"/>
  <c r="D17" i="13"/>
  <c r="C17" i="13"/>
  <c r="D6" i="13"/>
  <c r="C6" i="13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C80" i="2"/>
  <c r="E77" i="2"/>
  <c r="E80" i="2" s="1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/>
  <c r="I475" i="1"/>
  <c r="H624" i="1"/>
  <c r="G475" i="1"/>
  <c r="H622" i="1"/>
  <c r="J622" i="1" s="1"/>
  <c r="G337" i="1"/>
  <c r="G351" i="1" s="1"/>
  <c r="C23" i="10"/>
  <c r="C28" i="10"/>
  <c r="F168" i="1"/>
  <c r="J139" i="1"/>
  <c r="J621" i="1"/>
  <c r="F570" i="1"/>
  <c r="H256" i="1"/>
  <c r="H270" i="1" s="1"/>
  <c r="G62" i="2"/>
  <c r="G103" i="2" s="1"/>
  <c r="I551" i="1"/>
  <c r="K548" i="1"/>
  <c r="K549" i="1"/>
  <c r="G22" i="2"/>
  <c r="K597" i="1"/>
  <c r="G646" i="1" s="1"/>
  <c r="J646" i="1" s="1"/>
  <c r="K544" i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D25" i="10"/>
  <c r="D23" i="10"/>
  <c r="C30" i="10"/>
  <c r="D24" i="10"/>
  <c r="D17" i="10"/>
  <c r="D11" i="10"/>
  <c r="D22" i="10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 s="1"/>
  <c r="F551" i="1"/>
  <c r="C35" i="10"/>
  <c r="L308" i="1"/>
  <c r="G659" i="1" s="1"/>
  <c r="G663" i="1" s="1"/>
  <c r="G671" i="1" s="1"/>
  <c r="C5" i="10" s="1"/>
  <c r="D5" i="13"/>
  <c r="E16" i="13"/>
  <c r="J624" i="1"/>
  <c r="C49" i="2"/>
  <c r="C50" i="2" s="1"/>
  <c r="J654" i="1"/>
  <c r="J644" i="1"/>
  <c r="H666" i="1"/>
  <c r="D15" i="10"/>
  <c r="D27" i="10"/>
  <c r="L569" i="1"/>
  <c r="I570" i="1"/>
  <c r="I544" i="1"/>
  <c r="J635" i="1"/>
  <c r="G36" i="2"/>
  <c r="C39" i="10"/>
  <c r="H192" i="1"/>
  <c r="G628" i="1" s="1"/>
  <c r="J628" i="1" s="1"/>
  <c r="L564" i="1"/>
  <c r="L570" i="1"/>
  <c r="G544" i="1"/>
  <c r="L544" i="1"/>
  <c r="H544" i="1"/>
  <c r="K550" i="1"/>
  <c r="K551" i="1" s="1"/>
  <c r="F143" i="2"/>
  <c r="F144" i="2" s="1"/>
  <c r="D26" i="10"/>
  <c r="D19" i="10"/>
  <c r="D18" i="10"/>
  <c r="D16" i="10"/>
  <c r="D13" i="10"/>
  <c r="D12" i="10"/>
  <c r="D20" i="10"/>
  <c r="D21" i="10"/>
  <c r="D10" i="10"/>
  <c r="D28" i="10" s="1"/>
  <c r="C5" i="13"/>
  <c r="C22" i="13"/>
  <c r="C137" i="2"/>
  <c r="C16" i="13"/>
  <c r="E33" i="13"/>
  <c r="D35" i="13" s="1"/>
  <c r="L337" i="1"/>
  <c r="L351" i="1" s="1"/>
  <c r="G632" i="1" s="1"/>
  <c r="J632" i="1" s="1"/>
  <c r="C25" i="13"/>
  <c r="H33" i="13"/>
  <c r="F666" i="1"/>
  <c r="G666" i="1"/>
  <c r="F139" i="1" l="1"/>
  <c r="F192" i="1" s="1"/>
  <c r="G626" i="1" s="1"/>
  <c r="J626" i="1" s="1"/>
  <c r="G630" i="1"/>
  <c r="J630" i="1" s="1"/>
  <c r="G645" i="1"/>
  <c r="G21" i="2"/>
  <c r="G31" i="2" s="1"/>
  <c r="J32" i="1"/>
  <c r="J19" i="1"/>
  <c r="G620" i="1" s="1"/>
  <c r="G12" i="2"/>
  <c r="G18" i="2" s="1"/>
  <c r="G44" i="2"/>
  <c r="J50" i="1"/>
  <c r="G49" i="2"/>
  <c r="G50" i="2" s="1"/>
  <c r="J653" i="1"/>
  <c r="J649" i="1"/>
  <c r="J634" i="1"/>
  <c r="F544" i="1"/>
  <c r="H433" i="1"/>
  <c r="K433" i="1"/>
  <c r="G133" i="2" s="1"/>
  <c r="G143" i="2" s="1"/>
  <c r="G144" i="2" s="1"/>
  <c r="D102" i="2"/>
  <c r="D103" i="2" s="1"/>
  <c r="I139" i="1"/>
  <c r="I192" i="1" s="1"/>
  <c r="G629" i="1" s="1"/>
  <c r="J629" i="1" s="1"/>
  <c r="G111" i="1"/>
  <c r="G192" i="1" s="1"/>
  <c r="G627" i="1" s="1"/>
  <c r="J627" i="1" s="1"/>
  <c r="L406" i="1"/>
  <c r="F31" i="13"/>
  <c r="C103" i="2"/>
  <c r="J619" i="1"/>
  <c r="G570" i="1"/>
  <c r="G433" i="1"/>
  <c r="E90" i="2"/>
  <c r="E103" i="2" s="1"/>
  <c r="F103" i="2"/>
  <c r="I659" i="1"/>
  <c r="I663" i="1" s="1"/>
  <c r="J648" i="1"/>
  <c r="C139" i="2" l="1"/>
  <c r="C140" i="2" s="1"/>
  <c r="C143" i="2" s="1"/>
  <c r="C144" i="2" s="1"/>
  <c r="L407" i="1"/>
  <c r="C38" i="10"/>
  <c r="F33" i="13"/>
  <c r="D31" i="13"/>
  <c r="G625" i="1"/>
  <c r="J51" i="1"/>
  <c r="H620" i="1" s="1"/>
  <c r="J620" i="1" s="1"/>
  <c r="C36" i="10"/>
  <c r="I666" i="1"/>
  <c r="I671" i="1"/>
  <c r="C7" i="10" s="1"/>
  <c r="C31" i="13" l="1"/>
  <c r="D33" i="13"/>
  <c r="D36" i="13" s="1"/>
  <c r="J625" i="1"/>
  <c r="G636" i="1"/>
  <c r="J636" i="1" s="1"/>
  <c r="H645" i="1"/>
  <c r="J645" i="1" s="1"/>
  <c r="C41" i="10"/>
  <c r="D36" i="10" s="1"/>
  <c r="D38" i="10" l="1"/>
  <c r="H655" i="1"/>
  <c r="D37" i="10"/>
  <c r="D40" i="10"/>
  <c r="D35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<sst xmlns="http://schemas.openxmlformats.org/spreadsheetml/2006/main" count="3946" uniqueCount="913">
  <si>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</si>
  <si>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</si>
  <si>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</si>
  <si>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</si>
  <si>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</si>
  <si>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</si>
  <si>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</si>
  <si>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</si>
  <si>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</si>
  <si>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</si>
  <si>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</si>
  <si>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</si>
  <si>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</si>
  <si>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</si>
  <si>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</si>
  <si>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</si>
  <si>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</si>
  <si>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</si>
  <si>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</si>
  <si>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</si>
  <si>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</si>
  <si>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</si>
  <si>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</si>
  <si>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</si>
  <si>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</si>
  <si>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</si>
  <si>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</si>
  <si>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</si>
  <si>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</si>
  <si>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</si>
  <si>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</si>
  <si>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</si>
  <si>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</si>
  <si>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</si>
  <si>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</si>
  <si>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</si>
  <si>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</si>
  <si>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</si>
  <si>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</si>
  <si>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</si>
  <si>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</si>
  <si>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</si>
  <si>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</si>
  <si>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</si>
  <si>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</si>
  <si>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</si>
  <si>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</si>
  <si>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</si>
  <si>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</si>
  <si>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</si>
  <si>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</si>
  <si>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</si>
  <si>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</si>
  <si>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</si>
  <si>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</si>
  <si>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</si>
  <si>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</si>
  <si>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</si>
  <si>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</si>
  <si>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</si>
  <si>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</si>
  <si>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</si>
  <si>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</si>
  <si>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</si>
  <si>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</si>
  <si>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</si>
  <si>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</si>
  <si>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</si>
  <si>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</si>
  <si>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</si>
  <si>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</si>
  <si>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</si>
  <si>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</si>
  <si>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</si>
  <si>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</si>
  <si>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</si>
  <si>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</si>
  <si>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</si>
  <si>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</si>
  <si>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</si>
  <si>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</si>
  <si>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</si>
  <si>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</si>
  <si>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</si>
  <si>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</si>
  <si>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</si>
  <si>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</si>
  <si>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</si>
  <si>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</si>
  <si>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</si>
  <si>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</si>
  <si>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</si>
  <si>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</si>
  <si>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</si>
  <si>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</si>
  <si>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</si>
  <si>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</si>
  <si>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</si>
  <si>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</si>
  <si>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</si>
  <si>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</si>
  <si>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</si>
  <si>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</si>
  <si>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</si>
  <si>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</si>
  <si>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</si>
  <si>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</si>
  <si>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</si>
  <si>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</si>
  <si>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</si>
  <si>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</si>
  <si>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</si>
  <si>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</si>
  <si>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</si>
  <si>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</si>
  <si>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</si>
  <si>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</si>
  <si>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</si>
  <si>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</si>
  <si>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</si>
  <si>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</si>
  <si>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</si>
  <si>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</si>
  <si>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</si>
  <si>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</si>
  <si>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</si>
  <si>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</si>
  <si>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</si>
  <si>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</si>
  <si>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</si>
  <si>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</si>
  <si>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</si>
  <si>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</si>
  <si>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</si>
  <si>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</si>
  <si>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</si>
  <si>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</si>
  <si>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</si>
  <si>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</si>
  <si>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</si>
  <si>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</si>
  <si>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</si>
  <si>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</si>
  <si>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</si>
  <si>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</si>
  <si>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</si>
  <si>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</si>
  <si>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</si>
  <si>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</si>
  <si>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</si>
  <si>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</si>
  <si>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</si>
  <si>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</si>
  <si>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</si>
  <si>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</si>
  <si>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</si>
  <si>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</si>
  <si>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</si>
  <si>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</si>
  <si>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</si>
  <si>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</si>
  <si>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</si>
  <si>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</si>
  <si>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</si>
  <si>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</si>
  <si>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</si>
  <si>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</si>
  <si>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</si>
  <si>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</si>
  <si>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</si>
  <si>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</si>
  <si>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</si>
  <si>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</si>
  <si>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</si>
  <si>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</si>
  <si>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</si>
  <si>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</si>
  <si>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</si>
  <si>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</si>
  <si>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</si>
  <si>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</si>
  <si>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</si>
  <si>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</si>
  <si>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</si>
  <si>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</si>
  <si>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</si>
  <si>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</si>
  <si>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</si>
  <si>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</si>
  <si>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</si>
  <si>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</si>
  <si>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</si>
  <si>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</si>
  <si>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</si>
  <si>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</si>
  <si>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</si>
  <si>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</si>
  <si>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</si>
  <si>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</si>
  <si>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</si>
  <si>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</si>
  <si>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</si>
  <si>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</si>
  <si>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</si>
  <si>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</si>
  <si>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</si>
  <si>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</si>
  <si>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</si>
  <si>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</si>
  <si>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</si>
  <si>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</si>
  <si>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</si>
  <si>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</si>
  <si>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</si>
  <si>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</si>
  <si>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</si>
  <si>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</si>
  <si>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</si>
  <si>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</si>
  <si>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</si>
  <si>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</si>
  <si>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</si>
  <si>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</si>
  <si>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</si>
  <si>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</si>
  <si>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</si>
  <si>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</si>
  <si>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</si>
  <si>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</si>
  <si>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</si>
  <si>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</si>
  <si>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</si>
  <si>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</si>
  <si>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</si>
  <si>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</si>
  <si>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</si>
  <si>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</si>
  <si>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</si>
  <si>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</si>
  <si>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</si>
  <si>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</si>
  <si>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</si>
  <si>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</si>
  <si>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</si>
  <si>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</si>
  <si>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</si>
  <si>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</si>
  <si>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</si>
  <si>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</si>
  <si>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</si>
  <si>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</si>
  <si>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</si>
  <si>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</si>
  <si>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</si>
  <si>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</si>
  <si>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</si>
  <si>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</si>
  <si>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</si>
  <si>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</si>
  <si>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</si>
  <si>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</si>
  <si>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</si>
  <si>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</si>
  <si>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</si>
  <si>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</si>
  <si>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</si>
  <si>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</si>
  <si>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</si>
  <si>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</si>
  <si>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</si>
  <si>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</si>
  <si>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</si>
  <si>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</si>
  <si>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</si>
  <si>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</si>
  <si>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</si>
  <si>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</si>
  <si>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</si>
  <si>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</si>
  <si>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</si>
  <si>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</si>
  <si>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</si>
  <si>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</si>
  <si>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</si>
  <si>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</si>
  <si>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</si>
  <si>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</si>
  <si>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</si>
  <si>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</si>
  <si>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</si>
  <si>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</si>
  <si>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</si>
  <si>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</si>
  <si>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</si>
  <si>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</si>
  <si>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</si>
  <si>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</si>
  <si>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</si>
  <si>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</si>
  <si>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</si>
  <si>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</si>
  <si>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</si>
  <si>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</si>
  <si>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</si>
  <si>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</si>
  <si>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</si>
  <si>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</si>
  <si>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</si>
  <si>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</si>
  <si>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</si>
  <si>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</si>
  <si>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</si>
  <si>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</si>
  <si>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</si>
  <si>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</si>
  <si>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</si>
  <si>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</si>
  <si>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</si>
  <si>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</si>
  <si>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</si>
  <si>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</si>
  <si>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</si>
  <si>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</si>
  <si>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</si>
  <si>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</si>
  <si>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</si>
  <si>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</si>
  <si>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</si>
  <si>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</si>
  <si>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</si>
  <si>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</si>
  <si>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</si>
  <si>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</si>
  <si>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</si>
  <si>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</si>
  <si>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</si>
  <si>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</si>
  <si>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</si>
  <si>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</si>
  <si>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</si>
  <si>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</si>
  <si>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</si>
  <si>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</si>
  <si>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</si>
  <si>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</si>
  <si>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</si>
  <si>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</si>
  <si>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</si>
  <si>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</si>
  <si>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</si>
  <si>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</si>
  <si>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</si>
  <si>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</si>
  <si>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</si>
  <si>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</si>
  <si>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</si>
  <si>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</si>
  <si>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</si>
  <si>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</si>
  <si>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</si>
  <si>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</si>
  <si>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</si>
  <si>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</si>
  <si>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</si>
  <si>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</si>
  <si>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</si>
  <si>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</si>
  <si>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</si>
  <si>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</si>
  <si>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</si>
  <si>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</si>
  <si>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</si>
  <si>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</si>
  <si>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</si>
  <si>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</si>
  <si>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</si>
  <si>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</si>
  <si>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</si>
  <si>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</si>
  <si>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</si>
  <si>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</si>
  <si>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</si>
  <si>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</si>
  <si>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</si>
  <si>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</si>
  <si>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</si>
  <si>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</si>
  <si>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</si>
  <si>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</si>
  <si>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</si>
  <si>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</si>
  <si>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</si>
  <si>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</si>
  <si>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</si>
  <si>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</si>
  <si>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</si>
  <si>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</si>
  <si>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</si>
  <si>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</si>
  <si>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</si>
  <si>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</si>
  <si>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</si>
  <si>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</si>
  <si>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</si>
  <si>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</si>
  <si>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</si>
  <si>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</si>
  <si>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</si>
  <si>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</si>
  <si>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</si>
  <si>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</si>
  <si>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</si>
  <si>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</si>
  <si>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</si>
  <si>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</si>
  <si>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</si>
  <si>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</si>
  <si>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</si>
  <si>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</si>
  <si>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</si>
  <si>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</si>
  <si>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</si>
  <si>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</si>
  <si>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</si>
  <si>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</si>
  <si>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</si>
  <si>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</si>
  <si>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</si>
  <si>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</si>
  <si>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</si>
  <si>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</si>
  <si>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</si>
  <si>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</si>
  <si>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</si>
  <si>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</si>
  <si>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</si>
  <si>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</si>
  <si>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</si>
  <si>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</si>
  <si>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</si>
  <si>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</si>
  <si>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</si>
  <si>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</si>
  <si>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</si>
  <si>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</si>
  <si>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</si>
  <si>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</si>
  <si>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</si>
  <si>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</si>
  <si>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</si>
  <si>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</si>
  <si>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</si>
  <si>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</si>
  <si>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</si>
  <si>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</si>
  <si>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</si>
  <si>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</si>
  <si>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</si>
  <si>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</si>
  <si>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</si>
  <si>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</si>
  <si>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</si>
  <si>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</si>
  <si>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</si>
  <si>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</si>
  <si>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</si>
  <si>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</si>
  <si>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</si>
  <si>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</si>
  <si>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</si>
  <si>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</si>
  <si>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</si>
  <si>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</si>
  <si>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</si>
  <si>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</si>
  <si>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</si>
  <si>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</si>
  <si>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</si>
  <si>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</si>
  <si>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</si>
  <si>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</si>
  <si>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</si>
  <si>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</si>
  <si>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</si>
  <si>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</si>
  <si>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</si>
  <si>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</si>
  <si>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</si>
  <si>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</si>
  <si>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</si>
  <si>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</si>
  <si>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</si>
  <si>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</si>
  <si>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</si>
  <si>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</si>
  <si>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</si>
  <si>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</si>
  <si>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</si>
  <si>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</si>
  <si>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</si>
  <si>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</si>
  <si>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</si>
  <si>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</si>
  <si>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</si>
  <si>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</si>
  <si>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</si>
  <si>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</si>
  <si>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</si>
  <si>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</si>
  <si>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</si>
  <si>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</si>
  <si>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</si>
  <si>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</si>
  <si>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</si>
  <si>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</si>
  <si>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</si>
  <si>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</si>
  <si>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</si>
  <si>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</si>
  <si>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</si>
  <si>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</si>
  <si>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</si>
  <si>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</si>
  <si>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</si>
  <si>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</si>
  <si>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</si>
  <si>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</si>
  <si>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</si>
  <si>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</si>
  <si>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</si>
  <si>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</si>
  <si>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</si>
  <si>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</si>
  <si>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</si>
  <si>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</si>
  <si>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</si>
  <si>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</si>
  <si>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</si>
  <si>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</si>
  <si>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</si>
  <si>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</si>
  <si>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</si>
  <si>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</si>
  <si>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</si>
  <si>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</si>
  <si>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</si>
  <si>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</si>
  <si>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</si>
  <si>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</si>
  <si>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</si>
  <si>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</si>
  <si>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</si>
  <si>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</si>
  <si>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</si>
  <si>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</si>
  <si>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</si>
  <si>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</si>
  <si>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</si>
  <si>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</si>
  <si>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</si>
  <si>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</si>
  <si>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</si>
  <si>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</si>
  <si>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</si>
  <si>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</si>
  <si>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</si>
  <si>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</si>
  <si>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</si>
  <si>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</si>
  <si>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</si>
  <si>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</si>
  <si>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</si>
  <si>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</si>
  <si>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</si>
  <si>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</si>
  <si>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</si>
  <si>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</si>
  <si>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</si>
  <si>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</si>
  <si>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</si>
  <si>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</si>
  <si>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</si>
  <si>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</si>
  <si>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</si>
  <si>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</si>
  <si>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</si>
  <si>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</si>
  <si>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</si>
  <si>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</si>
  <si>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</si>
  <si>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</si>
  <si>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</si>
  <si>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</si>
  <si>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</si>
  <si>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</si>
  <si>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</si>
  <si>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</si>
  <si>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</si>
  <si>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</si>
  <si>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</si>
  <si>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</si>
  <si>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</si>
  <si>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</si>
  <si>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</si>
  <si>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</si>
  <si>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</si>
  <si>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</si>
  <si>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</si>
  <si>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</si>
  <si>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</si>
  <si>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</si>
  <si>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</si>
  <si>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</si>
  <si>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</si>
  <si>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</si>
  <si>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</si>
  <si>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</si>
  <si>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</si>
  <si>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</si>
  <si>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</si>
  <si>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</si>
  <si>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</si>
  <si>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</si>
  <si>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</si>
  <si>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</si>
  <si>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</si>
  <si>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</si>
  <si>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</si>
  <si>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</si>
  <si>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</si>
  <si>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</si>
  <si>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</si>
  <si>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</si>
  <si>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</si>
  <si>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</si>
  <si>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</si>
  <si>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</si>
  <si>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</si>
  <si>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</si>
  <si>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</si>
  <si>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</si>
  <si>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</si>
  <si>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</si>
  <si>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</si>
  <si>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</si>
  <si>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</si>
  <si>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</si>
  <si>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</si>
  <si>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</si>
  <si>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</si>
  <si>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</si>
  <si>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</si>
  <si>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</si>
  <si>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</si>
  <si>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</si>
  <si>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</si>
  <si>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</si>
  <si>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</si>
  <si>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</si>
  <si>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</si>
  <si>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</si>
  <si>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</si>
  <si>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</si>
  <si>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</si>
  <si>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</si>
  <si>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</si>
  <si>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</si>
  <si>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</si>
  <si>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</si>
  <si>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</si>
  <si>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</si>
  <si>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</si>
  <si>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</si>
  <si>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</si>
  <si>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</si>
  <si>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</si>
  <si>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</si>
  <si>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</si>
  <si>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</si>
  <si>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</si>
  <si>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</si>
  <si>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</si>
  <si>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</si>
  <si>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</si>
  <si>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</si>
  <si>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</si>
  <si>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</si>
  <si>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</si>
  <si>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</si>
  <si>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</si>
  <si>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</si>
  <si>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</si>
  <si>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</si>
  <si>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</si>
  <si>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</si>
  <si>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</si>
  <si>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</si>
  <si>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</si>
  <si>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</si>
  <si>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</si>
  <si>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</si>
  <si>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</si>
  <si>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</si>
  <si>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</si>
  <si>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</si>
  <si>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</si>
  <si>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</si>
  <si>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</si>
  <si>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</si>
  <si>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</si>
  <si>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</si>
  <si>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</si>
  <si>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</si>
  <si>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</si>
  <si>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</si>
  <si>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</si>
  <si>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</si>
  <si>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</si>
  <si>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</si>
  <si>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</si>
  <si>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</si>
  <si>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</si>
  <si>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</si>
  <si>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</si>
  <si>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</si>
  <si>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</si>
  <si>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</si>
  <si>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</si>
  <si>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</si>
  <si>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</si>
  <si>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</si>
  <si>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</si>
  <si>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</si>
  <si>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</si>
  <si>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</si>
  <si>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</si>
  <si>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</si>
  <si>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</si>
  <si>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</si>
  <si>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</si>
  <si>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</si>
  <si>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</si>
  <si>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</si>
  <si>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</si>
  <si>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</si>
  <si>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</si>
  <si>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</si>
  <si>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</si>
  <si>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</si>
  <si>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</si>
  <si>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</si>
  <si>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</si>
  <si>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</si>
  <si>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</si>
  <si>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</si>
  <si>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</si>
  <si>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</si>
  <si>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</si>
  <si>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</si>
  <si>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</si>
  <si>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</si>
  <si>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</si>
  <si>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</si>
  <si>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</si>
  <si>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</si>
  <si>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</si>
  <si>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</si>
  <si>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</si>
  <si>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</si>
  <si>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</si>
  <si>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</si>
  <si>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</si>
  <si>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</si>
  <si>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</si>
  <si>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</si>
  <si>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</si>
  <si>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</si>
  <si>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</si>
  <si>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</si>
  <si>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</si>
  <si>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</si>
  <si>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</si>
  <si>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</si>
  <si>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</si>
  <si>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</si>
  <si>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</si>
  <si>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</si>
  <si>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</si>
  <si>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</si>
  <si>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</si>
  <si>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</si>
  <si>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</si>
  <si>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</si>
  <si>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</si>
  <si>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</si>
  <si>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</si>
  <si>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</si>
  <si>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</si>
  <si>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</si>
  <si>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</si>
  <si>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</si>
  <si>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</si>
  <si>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</si>
  <si>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</si>
  <si>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</si>
  <si>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</si>
  <si>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</si>
  <si>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</si>
  <si>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</si>
  <si>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</si>
  <si>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</si>
  <si>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</si>
  <si>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</si>
  <si>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</si>
  <si>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</si>
  <si>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</si>
  <si>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</si>
  <si>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</si>
  <si>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</si>
  <si>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</si>
  <si>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</si>
  <si>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</si>
  <si>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</si>
  <si>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</si>
  <si>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</si>
  <si>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</si>
  <si>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</si>
  <si>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</si>
  <si>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</si>
  <si>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</si>
  <si>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</si>
  <si>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</si>
  <si>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</si>
  <si>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</si>
  <si>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</si>
  <si>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</si>
  <si>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</si>
  <si>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</si>
  <si>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</si>
  <si>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</si>
  <si>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</si>
  <si>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</si>
  <si>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</si>
  <si>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</si>
  <si>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</si>
  <si>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</si>
  <si>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</si>
  <si>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</si>
  <si>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</si>
  <si>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</si>
  <si>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</si>
  <si>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</si>
  <si>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</si>
  <si>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</si>
  <si>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</si>
  <si>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</si>
  <si>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</si>
  <si>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</si>
  <si>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</si>
  <si>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</si>
  <si>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</si>
  <si>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</si>
  <si>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</si>
  <si>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</si>
  <si>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</si>
  <si>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</si>
  <si>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</si>
  <si>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</si>
  <si>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</si>
  <si>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</si>
  <si>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</si>
  <si>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</si>
  <si>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</si>
  <si>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</si>
  <si>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</si>
  <si>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</si>
  <si>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</si>
  <si>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</si>
  <si>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</si>
  <si>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</si>
  <si>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</si>
  <si>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</si>
  <si>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</si>
  <si>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</si>
  <si>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</si>
  <si>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</si>
  <si>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</si>
  <si>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</si>
  <si>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</si>
  <si>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</si>
  <si>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</si>
  <si>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</si>
  <si>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</si>
  <si>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</si>
  <si>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</si>
  <si>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</si>
  <si>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</si>
  <si>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</si>
  <si>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</si>
  <si>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</si>
  <si>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</si>
  <si>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</si>
  <si>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</si>
  <si>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</si>
  <si>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</si>
  <si>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</si>
  <si>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</si>
  <si>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</si>
  <si>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</si>
  <si>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fund 70 prior prd adj for beginning balances</t>
  </si>
  <si>
    <t>actual balances of trusts were not disclosed, only transfer activity.  $120,276.85</t>
  </si>
  <si>
    <t>column 5 - represents prior period adjustment to Trust Funds</t>
  </si>
  <si>
    <t>SURRY SCHOOL DISTRICT SAU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</si>
</sst>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119" sqref="F11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912</v>
      </c>
      <c r="B2" s="21">
        <v>519</v>
      </c>
      <c r="C2" s="21">
        <v>519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174973.18</f>
        <v>174973.18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82.57</f>
        <v>82.57</v>
      </c>
      <c r="G12" s="18"/>
      <c r="H12" s="18"/>
      <c r="I12" s="18"/>
      <c r="J12" s="67">
        <f>SUM(I440)</f>
        <v>30000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97577.99</f>
        <v>97577.99</v>
      </c>
      <c r="G13" s="18"/>
      <c r="H13" s="18">
        <f>82.57</f>
        <v>82.57</v>
      </c>
      <c r="I13" s="18"/>
      <c r="J13" s="67">
        <f>SUM(I441)</f>
        <v>220431.94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5039.78</f>
        <v>5039.78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277673.52</v>
      </c>
      <c r="G19" s="41">
        <f>SUM(G9:G18)</f>
        <v>0</v>
      </c>
      <c r="H19" s="41">
        <f>SUM(H9:H18)</f>
        <v>82.57</v>
      </c>
      <c r="I19" s="41">
        <f>SUM(I9:I18)</f>
        <v>0</v>
      </c>
      <c r="J19" s="41">
        <f>SUM(J9:J18)</f>
        <v>250431.94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82.57</f>
        <v>82.57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f>1000+30000</f>
        <v>31000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4913.48</f>
        <v>4913.4799999999996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35913.479999999996</v>
      </c>
      <c r="G32" s="41">
        <f>SUM(G22:G31)</f>
        <v>0</v>
      </c>
      <c r="H32" s="41">
        <f>SUM(H22:H31)</f>
        <v>82.57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250431.94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0</v>
      </c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178205.2+63554.84</f>
        <v>241760.04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241760.04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250431.94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277673.52</v>
      </c>
      <c r="G51" s="41">
        <f>G50+G32</f>
        <v>0</v>
      </c>
      <c r="H51" s="41">
        <f>H50+H32</f>
        <v>82.57</v>
      </c>
      <c r="I51" s="41">
        <f>I50+I32</f>
        <v>0</v>
      </c>
      <c r="J51" s="41">
        <f>J50+J32</f>
        <v>250431.94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780633-0.01</f>
        <v>780632.99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780632.99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783.96</f>
        <v>783.96</v>
      </c>
      <c r="G95" s="18"/>
      <c r="H95" s="18"/>
      <c r="I95" s="18"/>
      <c r="J95" s="18">
        <f>34.2+120.89</f>
        <v>155.09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10000</f>
        <v>10000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10783.96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155.09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791416.95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155.09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126787.15</f>
        <v>126787.15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196945</f>
        <v>196945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f>109.85</f>
        <v>109.85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323842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323842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f>6700.7</f>
        <v>6700.7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6700.7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2819.06</f>
        <v>2819.06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2819.06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6700.7</v>
      </c>
      <c r="G168" s="41">
        <f>G146+G161+SUM(G162:G167)</f>
        <v>0</v>
      </c>
      <c r="H168" s="41">
        <f>H146+H161+SUM(H162:H167)</f>
        <v>2819.06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f>10000+20000+30000</f>
        <v>60000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60000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60000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1121959.6499999999</v>
      </c>
      <c r="G192" s="47">
        <f>G111+G139+G168+G191</f>
        <v>0</v>
      </c>
      <c r="H192" s="47">
        <f>H111+H139+H168+H191</f>
        <v>2819.06</v>
      </c>
      <c r="I192" s="47">
        <f>I111+I139+I168+I191</f>
        <v>0</v>
      </c>
      <c r="J192" s="47">
        <f>J111+J139+J191</f>
        <v>60155.09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f>(711906.99*0.49)-0.01</f>
        <v>348834.41509999998</v>
      </c>
      <c r="I196" s="18"/>
      <c r="J196" s="18"/>
      <c r="K196" s="18"/>
      <c r="L196" s="19">
        <f>SUM(F196:K196)</f>
        <v>348834.41509999998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f>(611.34+135737.89)*0.49</f>
        <v>66811.122700000007</v>
      </c>
      <c r="I197" s="18"/>
      <c r="J197" s="18"/>
      <c r="K197" s="18"/>
      <c r="L197" s="19">
        <f>SUM(F197:K197)</f>
        <v>66811.122700000007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f>296.14*0.49</f>
        <v>145.1086</v>
      </c>
      <c r="I201" s="18"/>
      <c r="J201" s="18"/>
      <c r="K201" s="18"/>
      <c r="L201" s="19">
        <f t="shared" ref="L201:L207" si="0">SUM(F201:K201)</f>
        <v>145.1086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f>(632.24+42000)*0.49</f>
        <v>20889.797599999998</v>
      </c>
      <c r="I203" s="18"/>
      <c r="J203" s="18"/>
      <c r="K203" s="18"/>
      <c r="L203" s="19">
        <f t="shared" si="0"/>
        <v>20889.797599999998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>
        <f>(500+566.5)*0.49</f>
        <v>522.58500000000004</v>
      </c>
      <c r="I204" s="18">
        <f>236.43*0.49</f>
        <v>115.8507</v>
      </c>
      <c r="J204" s="18"/>
      <c r="K204" s="18"/>
      <c r="L204" s="19">
        <f t="shared" si="0"/>
        <v>638.4357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f>3737.67*0.49</f>
        <v>1831.4583</v>
      </c>
      <c r="I205" s="18"/>
      <c r="J205" s="18"/>
      <c r="K205" s="18"/>
      <c r="L205" s="19">
        <f t="shared" si="0"/>
        <v>1831.4583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>
        <f>(20879.11+1087)*0.49</f>
        <v>10763.393900000001</v>
      </c>
      <c r="I206" s="18"/>
      <c r="J206" s="18"/>
      <c r="K206" s="18"/>
      <c r="L206" s="19">
        <f t="shared" si="0"/>
        <v>10763.393900000001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(80213.5*0.49)-0.005</f>
        <v>39304.61</v>
      </c>
      <c r="I207" s="18"/>
      <c r="J207" s="18"/>
      <c r="K207" s="18"/>
      <c r="L207" s="19">
        <f t="shared" si="0"/>
        <v>39304.61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489102.49119999999</v>
      </c>
      <c r="I210" s="41">
        <f t="shared" si="1"/>
        <v>115.8507</v>
      </c>
      <c r="J210" s="41">
        <f t="shared" si="1"/>
        <v>0</v>
      </c>
      <c r="K210" s="41">
        <f t="shared" si="1"/>
        <v>0</v>
      </c>
      <c r="L210" s="41">
        <f t="shared" si="1"/>
        <v>489218.34189999994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f>711906.99*0.14</f>
        <v>99666.978600000002</v>
      </c>
      <c r="I214" s="18"/>
      <c r="J214" s="18"/>
      <c r="K214" s="18"/>
      <c r="L214" s="19">
        <f>SUM(F214:K214)</f>
        <v>99666.978600000002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f>136349.23*0.14</f>
        <v>19088.892200000002</v>
      </c>
      <c r="I215" s="18"/>
      <c r="J215" s="18"/>
      <c r="K215" s="18"/>
      <c r="L215" s="19">
        <f>SUM(F215:K215)</f>
        <v>19088.892200000002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>
        <f>296.14*0.14</f>
        <v>41.459600000000002</v>
      </c>
      <c r="I219" s="18"/>
      <c r="J219" s="18"/>
      <c r="K219" s="18"/>
      <c r="L219" s="19">
        <f t="shared" ref="L219:L225" si="2">SUM(F219:K219)</f>
        <v>41.459600000000002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>
        <f>42632.24*0.14</f>
        <v>5968.5136000000002</v>
      </c>
      <c r="I221" s="18"/>
      <c r="J221" s="18"/>
      <c r="K221" s="18"/>
      <c r="L221" s="19">
        <f t="shared" si="2"/>
        <v>5968.5136000000002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>
        <f>1066.5*0.14+0.01</f>
        <v>149.32</v>
      </c>
      <c r="I222" s="18">
        <f>236.43*0.14</f>
        <v>33.100200000000001</v>
      </c>
      <c r="J222" s="18"/>
      <c r="K222" s="18"/>
      <c r="L222" s="19">
        <f t="shared" si="2"/>
        <v>182.42019999999999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>
        <f>3737.67*0.14</f>
        <v>523.27380000000005</v>
      </c>
      <c r="I223" s="18"/>
      <c r="J223" s="18"/>
      <c r="K223" s="18"/>
      <c r="L223" s="19">
        <f t="shared" si="2"/>
        <v>523.27380000000005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>
        <f>21966.11*0.14</f>
        <v>3075.2554000000005</v>
      </c>
      <c r="I224" s="18"/>
      <c r="J224" s="18"/>
      <c r="K224" s="18"/>
      <c r="L224" s="19">
        <f t="shared" si="2"/>
        <v>3075.2554000000005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80213.5*0.14</f>
        <v>11229.890000000001</v>
      </c>
      <c r="I225" s="18"/>
      <c r="J225" s="18"/>
      <c r="K225" s="18"/>
      <c r="L225" s="19">
        <f t="shared" si="2"/>
        <v>11229.890000000001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139743.58320000002</v>
      </c>
      <c r="I228" s="41">
        <f>SUM(I214:I227)</f>
        <v>33.100200000000001</v>
      </c>
      <c r="J228" s="41">
        <f>SUM(J214:J227)</f>
        <v>0</v>
      </c>
      <c r="K228" s="41">
        <f t="shared" si="3"/>
        <v>0</v>
      </c>
      <c r="L228" s="41">
        <f t="shared" si="3"/>
        <v>139776.68340000001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711906.99*0.37</f>
        <v>263405.58629999997</v>
      </c>
      <c r="I232" s="18"/>
      <c r="J232" s="18"/>
      <c r="K232" s="18"/>
      <c r="L232" s="19">
        <f>SUM(F232:K232)</f>
        <v>263405.58629999997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136349.23*0.37</f>
        <v>50449.215100000001</v>
      </c>
      <c r="I233" s="18"/>
      <c r="J233" s="18"/>
      <c r="K233" s="18"/>
      <c r="L233" s="19">
        <f>SUM(F233:K233)</f>
        <v>50449.215100000001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296.14*0.37</f>
        <v>109.5718</v>
      </c>
      <c r="I237" s="18"/>
      <c r="J237" s="18"/>
      <c r="K237" s="18"/>
      <c r="L237" s="19">
        <f t="shared" ref="L237:L243" si="4">SUM(F237:K237)</f>
        <v>109.5718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f>42632.24*0.37</f>
        <v>15773.9288</v>
      </c>
      <c r="I239" s="18"/>
      <c r="J239" s="18"/>
      <c r="K239" s="18"/>
      <c r="L239" s="19">
        <f t="shared" si="4"/>
        <v>15773.9288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>
        <f>1066.5*0.37</f>
        <v>394.60500000000002</v>
      </c>
      <c r="I240" s="18">
        <f>236.43*0.37</f>
        <v>87.479100000000003</v>
      </c>
      <c r="J240" s="18"/>
      <c r="K240" s="18"/>
      <c r="L240" s="19">
        <f t="shared" si="4"/>
        <v>482.08410000000003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>
        <f>3737.67*0.37</f>
        <v>1382.9378999999999</v>
      </c>
      <c r="I241" s="18"/>
      <c r="J241" s="18"/>
      <c r="K241" s="18"/>
      <c r="L241" s="19">
        <f t="shared" si="4"/>
        <v>1382.9378999999999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>
        <f>21966.11*0.37</f>
        <v>8127.4607000000005</v>
      </c>
      <c r="I242" s="18"/>
      <c r="J242" s="18"/>
      <c r="K242" s="18"/>
      <c r="L242" s="19">
        <f t="shared" si="4"/>
        <v>8127.4607000000005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(80213.5*0.37)+0.005</f>
        <v>29679</v>
      </c>
      <c r="I243" s="18"/>
      <c r="J243" s="18"/>
      <c r="K243" s="18"/>
      <c r="L243" s="19">
        <f t="shared" si="4"/>
        <v>29679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369322.30559999996</v>
      </c>
      <c r="I246" s="41">
        <f t="shared" si="5"/>
        <v>87.479100000000003</v>
      </c>
      <c r="J246" s="41">
        <f t="shared" si="5"/>
        <v>0</v>
      </c>
      <c r="K246" s="41">
        <f t="shared" si="5"/>
        <v>0</v>
      </c>
      <c r="L246" s="41">
        <f t="shared" si="5"/>
        <v>369409.78469999996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998168.38</v>
      </c>
      <c r="I256" s="41">
        <f t="shared" si="8"/>
        <v>236.43</v>
      </c>
      <c r="J256" s="41">
        <f t="shared" si="8"/>
        <v>0</v>
      </c>
      <c r="K256" s="41">
        <f t="shared" si="8"/>
        <v>0</v>
      </c>
      <c r="L256" s="41">
        <f t="shared" si="8"/>
        <v>998404.80999999994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10000+20000+30000</f>
        <v>60000</v>
      </c>
      <c r="L265" s="19">
        <f t="shared" si="9"/>
        <v>60000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60000</v>
      </c>
      <c r="L269" s="41">
        <f t="shared" si="9"/>
        <v>60000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998168.38</v>
      </c>
      <c r="I270" s="42">
        <f t="shared" si="11"/>
        <v>236.43</v>
      </c>
      <c r="J270" s="42">
        <f t="shared" si="11"/>
        <v>0</v>
      </c>
      <c r="K270" s="42">
        <f t="shared" si="11"/>
        <v>60000</v>
      </c>
      <c r="L270" s="42">
        <f t="shared" si="11"/>
        <v>1058404.81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f>129.57</f>
        <v>129.57</v>
      </c>
      <c r="I276" s="18"/>
      <c r="J276" s="18"/>
      <c r="K276" s="18"/>
      <c r="L276" s="19">
        <f>SUM(F276:K276)</f>
        <v>129.57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2689.49</f>
        <v>2689.49</v>
      </c>
      <c r="I280" s="18"/>
      <c r="J280" s="18"/>
      <c r="K280" s="18"/>
      <c r="L280" s="19">
        <f t="shared" ref="L280:L286" si="12">SUM(F280:K280)</f>
        <v>2689.49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2819.06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2819.06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2819.06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2819.06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2819.06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2819.06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f>10000</f>
        <v>10000</v>
      </c>
      <c r="H395" s="18">
        <f>34.2</f>
        <v>34.200000000000003</v>
      </c>
      <c r="I395" s="18"/>
      <c r="J395" s="24" t="s">
        <v>289</v>
      </c>
      <c r="K395" s="24" t="s">
        <v>289</v>
      </c>
      <c r="L395" s="56">
        <f t="shared" si="26"/>
        <v>10034.200000000001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f>50000</f>
        <v>50000</v>
      </c>
      <c r="H396" s="18">
        <f>120.89</f>
        <v>120.89</v>
      </c>
      <c r="I396" s="18"/>
      <c r="J396" s="24" t="s">
        <v>289</v>
      </c>
      <c r="K396" s="24" t="s">
        <v>289</v>
      </c>
      <c r="L396" s="56">
        <f t="shared" si="26"/>
        <v>50120.89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60000</v>
      </c>
      <c r="H400" s="47">
        <f>SUM(H394:H399)</f>
        <v>155.09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60155.09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60000</v>
      </c>
      <c r="H407" s="47">
        <f>H392+H400+H406</f>
        <v>155.09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60155.09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f>30000</f>
        <v>30000</v>
      </c>
      <c r="G440" s="18">
        <v>0</v>
      </c>
      <c r="H440" s="18"/>
      <c r="I440" s="56">
        <f t="shared" si="33"/>
        <v>30000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f>170348.8</f>
        <v>170348.79999999999</v>
      </c>
      <c r="G441" s="18">
        <f>50083.14</f>
        <v>50083.14</v>
      </c>
      <c r="H441" s="18"/>
      <c r="I441" s="56">
        <f t="shared" si="33"/>
        <v>220431.94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200348.79999999999</v>
      </c>
      <c r="G445" s="13">
        <f>SUM(G438:G444)</f>
        <v>50083.14</v>
      </c>
      <c r="H445" s="13">
        <f>SUM(H438:H444)</f>
        <v>0</v>
      </c>
      <c r="I445" s="13">
        <f>SUM(I438:I444)</f>
        <v>250431.94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f>200348.8</f>
        <v>200348.79999999999</v>
      </c>
      <c r="G455" s="18">
        <f>50083.14</f>
        <v>50083.14</v>
      </c>
      <c r="H455" s="18"/>
      <c r="I455" s="56">
        <f t="shared" si="34"/>
        <v>250431.94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200348.79999999999</v>
      </c>
      <c r="G459" s="83">
        <f>SUM(G453:G458)</f>
        <v>50083.14</v>
      </c>
      <c r="H459" s="83">
        <f>SUM(H453:H458)</f>
        <v>0</v>
      </c>
      <c r="I459" s="83">
        <f>SUM(I453:I458)</f>
        <v>250431.94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200348.79999999999</v>
      </c>
      <c r="G460" s="42">
        <f>G451+G459</f>
        <v>50083.14</v>
      </c>
      <c r="H460" s="42">
        <f>H451+H459</f>
        <v>0</v>
      </c>
      <c r="I460" s="42">
        <f>I451+I459</f>
        <v>250431.94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f>178205.2</f>
        <v>178205.2</v>
      </c>
      <c r="G464" s="18"/>
      <c r="H464" s="18">
        <f>0</f>
        <v>0</v>
      </c>
      <c r="I464" s="18"/>
      <c r="J464" s="18">
        <f>70000</f>
        <v>70000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1121959.65</f>
        <v>1121959.6499999999</v>
      </c>
      <c r="G467" s="18"/>
      <c r="H467" s="18">
        <f>2819.06</f>
        <v>2819.06</v>
      </c>
      <c r="I467" s="18"/>
      <c r="J467" s="18">
        <f>10034.2+50120.89</f>
        <v>60155.09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f>40048.94+150227.91-70000</f>
        <v>120276.85</v>
      </c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1121959.6499999999</v>
      </c>
      <c r="G469" s="53">
        <f>SUM(G467:G468)</f>
        <v>0</v>
      </c>
      <c r="H469" s="53">
        <f>SUM(H467:H468)</f>
        <v>2819.06</v>
      </c>
      <c r="I469" s="53">
        <f>SUM(I467:I468)</f>
        <v>0</v>
      </c>
      <c r="J469" s="53">
        <f>SUM(J467:J468)</f>
        <v>180431.94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1058404.81</f>
        <v>1058404.81</v>
      </c>
      <c r="G471" s="18"/>
      <c r="H471" s="18">
        <f>2819.06</f>
        <v>2819.06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1058404.81</v>
      </c>
      <c r="G473" s="53">
        <f>SUM(G471:G472)</f>
        <v>0</v>
      </c>
      <c r="H473" s="53">
        <f>SUM(H471:H472)</f>
        <v>2819.06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241760.0399999998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250431.94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 t="s">
        <v>909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f>66811.12</f>
        <v>66811.12</v>
      </c>
      <c r="I520" s="18"/>
      <c r="J520" s="18"/>
      <c r="K520" s="18"/>
      <c r="L520" s="88">
        <f>SUM(F520:K520)</f>
        <v>66811.12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f>19088.89</f>
        <v>19088.89</v>
      </c>
      <c r="I521" s="18"/>
      <c r="J521" s="18"/>
      <c r="K521" s="18"/>
      <c r="L521" s="88">
        <f>SUM(F521:K521)</f>
        <v>19088.89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50449.22</f>
        <v>50449.22</v>
      </c>
      <c r="I522" s="18"/>
      <c r="J522" s="18"/>
      <c r="K522" s="18"/>
      <c r="L522" s="88">
        <f>SUM(F522:K522)</f>
        <v>50449.22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136349.22999999998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136349.22999999998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136349.22999999998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136349.22999999998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66811.12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66811.12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19088.89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19088.89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50449.22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50449.22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136349.22999999998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0</v>
      </c>
      <c r="K551" s="89">
        <f t="shared" si="42"/>
        <v>136349.22999999998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f>348834.43-0.01</f>
        <v>348834.42</v>
      </c>
      <c r="G574" s="18">
        <f>99666.98</f>
        <v>99666.98</v>
      </c>
      <c r="H574" s="18">
        <f>263405.59</f>
        <v>263405.59000000003</v>
      </c>
      <c r="I574" s="87">
        <f>SUM(F574:H574)</f>
        <v>711906.99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66811.12</f>
        <v>66811.12</v>
      </c>
      <c r="G578" s="18">
        <f>19088.89</f>
        <v>19088.89</v>
      </c>
      <c r="H578" s="18">
        <f>50449.22</f>
        <v>50449.22</v>
      </c>
      <c r="I578" s="87">
        <f t="shared" si="47"/>
        <v>136349.22999999998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39304.62-0.01</f>
        <v>39304.61</v>
      </c>
      <c r="I590" s="18">
        <f>11229.89</f>
        <v>11229.89</v>
      </c>
      <c r="J590" s="18">
        <f>29679</f>
        <v>29679</v>
      </c>
      <c r="K590" s="104">
        <f t="shared" ref="K590:K596" si="48">SUM(H590:J590)</f>
        <v>80213.5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39304.61</v>
      </c>
      <c r="I597" s="108">
        <f>SUM(I590:I596)</f>
        <v>11229.89</v>
      </c>
      <c r="J597" s="108">
        <f>SUM(J590:J596)</f>
        <v>29679</v>
      </c>
      <c r="K597" s="108">
        <f>SUM(K590:K596)</f>
        <v>80213.5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277673.52</v>
      </c>
      <c r="H616" s="109">
        <f>SUM(F51)</f>
        <v>277673.52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82.57</v>
      </c>
      <c r="H618" s="109">
        <f>SUM(H51)</f>
        <v>82.57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250431.94</v>
      </c>
      <c r="H620" s="109">
        <f>SUM(J51)</f>
        <v>250431.94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241760.04</v>
      </c>
      <c r="H621" s="109">
        <f>F475</f>
        <v>241760.0399999998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250431.94</v>
      </c>
      <c r="H625" s="109">
        <f>J475</f>
        <v>250431.94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1121959.6499999999</v>
      </c>
      <c r="H626" s="104">
        <f>SUM(F467)</f>
        <v>1121959.6499999999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2819.06</v>
      </c>
      <c r="H628" s="104">
        <f>SUM(H467)</f>
        <v>2819.06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60155.09</v>
      </c>
      <c r="H630" s="104">
        <f>SUM(J467)</f>
        <v>60155.09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1058404.81</v>
      </c>
      <c r="H631" s="104">
        <f>SUM(F471)</f>
        <v>1058404.81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2819.06</v>
      </c>
      <c r="H632" s="104">
        <f>SUM(H471)</f>
        <v>2819.06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60155.09</v>
      </c>
      <c r="H636" s="164">
        <f>SUM(J467)</f>
        <v>60155.09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200348.79999999999</v>
      </c>
      <c r="H638" s="104">
        <f>SUM(F460)</f>
        <v>200348.79999999999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50083.14</v>
      </c>
      <c r="H639" s="104">
        <f>SUM(G460)</f>
        <v>50083.14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250431.94</v>
      </c>
      <c r="H641" s="104">
        <f>SUM(I460)</f>
        <v>250431.94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155.09</v>
      </c>
      <c r="H643" s="104">
        <f>H407</f>
        <v>155.09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60000</v>
      </c>
      <c r="H644" s="104">
        <f>G407</f>
        <v>60000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60155.09</v>
      </c>
      <c r="H645" s="104">
        <f>L407</f>
        <v>60155.09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80213.5</v>
      </c>
      <c r="H646" s="104">
        <f>L207+L225+L243</f>
        <v>80213.5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39304.61</v>
      </c>
      <c r="H648" s="104">
        <f>H597</f>
        <v>39304.61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11229.890000000001</v>
      </c>
      <c r="H649" s="104">
        <f>I597</f>
        <v>11229.89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29679</v>
      </c>
      <c r="H650" s="104">
        <f>J597</f>
        <v>29679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60000</v>
      </c>
      <c r="H654" s="104">
        <f>K265+K346</f>
        <v>60000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492037.40189999994</v>
      </c>
      <c r="G659" s="19">
        <f>(L228+L308+L358)</f>
        <v>139776.68340000001</v>
      </c>
      <c r="H659" s="19">
        <f>(L246+L327+L359)</f>
        <v>369409.78469999996</v>
      </c>
      <c r="I659" s="19">
        <f>SUM(F659:H659)</f>
        <v>1001223.8699999999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39304.61</v>
      </c>
      <c r="G661" s="19">
        <f>(L225+L305)-(J225+J305)</f>
        <v>11229.890000000001</v>
      </c>
      <c r="H661" s="19">
        <f>(L243+L324)-(J243+J324)</f>
        <v>29679</v>
      </c>
      <c r="I661" s="19">
        <f>SUM(F661:H661)</f>
        <v>80213.5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415645.54</v>
      </c>
      <c r="G662" s="200">
        <f>SUM(G574:G586)+SUM(I601:I603)+L611</f>
        <v>118755.87</v>
      </c>
      <c r="H662" s="200">
        <f>SUM(H574:H586)+SUM(J601:J603)+L612</f>
        <v>313854.81000000006</v>
      </c>
      <c r="I662" s="19">
        <f>SUM(F662:H662)</f>
        <v>848256.22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37087.251899999974</v>
      </c>
      <c r="G663" s="19">
        <f>G659-SUM(G660:G662)</f>
        <v>9790.9234000000142</v>
      </c>
      <c r="H663" s="19">
        <f>H659-SUM(H660:H662)</f>
        <v>25875.974699999904</v>
      </c>
      <c r="I663" s="19">
        <f>I659-SUM(I660:I662)</f>
        <v>72754.149999999907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>
        <v>-37087.26</v>
      </c>
      <c r="G668" s="18">
        <v>-9790.92</v>
      </c>
      <c r="H668" s="18">
        <v>-25875.97</v>
      </c>
      <c r="I668" s="19">
        <f>SUM(F668:H668)</f>
        <v>-72754.149999999994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5" workbookViewId="0">
      <selection activeCell="B4" sqref="B4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SURRY SCHOOL DISTRICT SAU 91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>
      <c r="A10" t="s">
        <v>779</v>
      </c>
      <c r="B10" s="241"/>
      <c r="C10" s="241"/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>
      <c r="A19" t="s">
        <v>779</v>
      </c>
      <c r="B19" s="241"/>
      <c r="C19" s="241"/>
    </row>
    <row r="20" spans="1:3">
      <c r="A20" t="s">
        <v>780</v>
      </c>
      <c r="B20" s="241"/>
      <c r="C20" s="241"/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B2" sqref="B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SURRY SCHOOL DISTRICT SAU 91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848256.21</v>
      </c>
      <c r="D5" s="20">
        <f>SUM('DOE25'!L196:L199)+SUM('DOE25'!L214:L217)+SUM('DOE25'!L232:L235)-F5-G5</f>
        <v>848256.21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296.14</v>
      </c>
      <c r="D6" s="20">
        <f>'DOE25'!L201+'DOE25'!L219+'DOE25'!L237-F6-G6</f>
        <v>296.14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41998</v>
      </c>
      <c r="D8" s="244"/>
      <c r="E8" s="20">
        <f>'DOE25'!L203+'DOE25'!L221+'DOE25'!L239-F8-G8-D9-D11</f>
        <v>41998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634.24</v>
      </c>
      <c r="D9" s="245">
        <f>634.24</f>
        <v>634.24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3737.67</v>
      </c>
      <c r="D10" s="244"/>
      <c r="E10" s="245">
        <f>3737.67</f>
        <v>3737.67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0</v>
      </c>
      <c r="D11" s="245"/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1302.94</v>
      </c>
      <c r="D12" s="20">
        <f>'DOE25'!L204+'DOE25'!L222+'DOE25'!L240-F12-G12</f>
        <v>1302.94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3737.67</v>
      </c>
      <c r="D13" s="244"/>
      <c r="E13" s="20">
        <f>'DOE25'!L205+'DOE25'!L223+'DOE25'!L241-F13-G13</f>
        <v>3737.67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21966.11</v>
      </c>
      <c r="D14" s="20">
        <f>'DOE25'!L206+'DOE25'!L224+'DOE25'!L242-F14-G14</f>
        <v>21966.11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80213.5</v>
      </c>
      <c r="D15" s="20">
        <f>'DOE25'!L207+'DOE25'!L225+'DOE25'!L243-F15-G15</f>
        <v>80213.5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2819.06</v>
      </c>
      <c r="D31" s="20">
        <f>'DOE25'!L289+'DOE25'!L308+'DOE25'!L327+'DOE25'!L332+'DOE25'!L333+'DOE25'!L334-F31-G31</f>
        <v>2819.06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955488.2</v>
      </c>
      <c r="E33" s="247">
        <f>SUM(E5:E31)</f>
        <v>49473.34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>
      <c r="B35" s="254" t="s">
        <v>847</v>
      </c>
      <c r="D35" s="255">
        <f>E33</f>
        <v>49473.34</v>
      </c>
      <c r="E35" s="250"/>
    </row>
    <row r="36" spans="2:8" ht="12" thickTop="1">
      <c r="B36" t="s">
        <v>815</v>
      </c>
      <c r="D36" s="20">
        <f>D33</f>
        <v>955488.2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SURRY SCHOOL DISTRICT SAU 91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174973.18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82.57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30000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97577.99</v>
      </c>
      <c r="D12" s="95">
        <f>'DOE25'!G13</f>
        <v>0</v>
      </c>
      <c r="E12" s="95">
        <f>'DOE25'!H13</f>
        <v>82.57</v>
      </c>
      <c r="F12" s="95">
        <f>'DOE25'!I13</f>
        <v>0</v>
      </c>
      <c r="G12" s="95">
        <f>'DOE25'!J13</f>
        <v>220431.94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5039.78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277673.52</v>
      </c>
      <c r="D18" s="41">
        <f>SUM(D8:D17)</f>
        <v>0</v>
      </c>
      <c r="E18" s="41">
        <f>SUM(E8:E17)</f>
        <v>82.57</v>
      </c>
      <c r="F18" s="41">
        <f>SUM(F8:F17)</f>
        <v>0</v>
      </c>
      <c r="G18" s="41">
        <f>SUM(G8:G17)</f>
        <v>250431.94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82.57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31000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4913.4799999999996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35913.479999999996</v>
      </c>
      <c r="D31" s="41">
        <f>SUM(D21:D30)</f>
        <v>0</v>
      </c>
      <c r="E31" s="41">
        <f>SUM(E21:E30)</f>
        <v>82.57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250431.94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241760.04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241760.04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250431.94</v>
      </c>
      <c r="H49" s="124"/>
      <c r="I49" s="124"/>
    </row>
    <row r="50" spans="1:9" ht="12" thickTop="1">
      <c r="A50" s="38" t="s">
        <v>895</v>
      </c>
      <c r="B50" s="2"/>
      <c r="C50" s="41">
        <f>C49+C31</f>
        <v>277673.52</v>
      </c>
      <c r="D50" s="41">
        <f>D49+D31</f>
        <v>0</v>
      </c>
      <c r="E50" s="41">
        <f>E49+E31</f>
        <v>82.57</v>
      </c>
      <c r="F50" s="41">
        <f>F49+F31</f>
        <v>0</v>
      </c>
      <c r="G50" s="41">
        <f>G49+G31</f>
        <v>250431.94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780632.99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783.96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155.09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10000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10783.96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155.09</v>
      </c>
      <c r="H61"/>
      <c r="I61"/>
    </row>
    <row r="62" spans="1:9" ht="12" thickTop="1">
      <c r="A62" s="29" t="s">
        <v>175</v>
      </c>
      <c r="B62" s="6"/>
      <c r="C62" s="22">
        <f>C55+C61</f>
        <v>791416.95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155.09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126787.15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196945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109.85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323842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323842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6700.7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2819.06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6700.7</v>
      </c>
      <c r="D90" s="131">
        <f>SUM(D84:D89)</f>
        <v>0</v>
      </c>
      <c r="E90" s="131">
        <f>SUM(E84:E89)</f>
        <v>2819.06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60000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60000</v>
      </c>
    </row>
    <row r="103" spans="1:7" ht="12.75" thickTop="1" thickBot="1">
      <c r="A103" s="33" t="s">
        <v>765</v>
      </c>
      <c r="C103" s="86">
        <f>C62+C80+C90+C102</f>
        <v>1121959.6499999999</v>
      </c>
      <c r="D103" s="86">
        <f>D62+D80+D90+D102</f>
        <v>0</v>
      </c>
      <c r="E103" s="86">
        <f>E62+E80+E90+E102</f>
        <v>2819.06</v>
      </c>
      <c r="F103" s="86">
        <f>F62+F80+F90+F102</f>
        <v>0</v>
      </c>
      <c r="G103" s="86">
        <f>G62+G80+G102</f>
        <v>60155.09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711906.98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136349.23000000001</v>
      </c>
      <c r="D109" s="24" t="s">
        <v>289</v>
      </c>
      <c r="E109" s="95">
        <f>('DOE25'!L276)+('DOE25'!L295)+('DOE25'!L314)</f>
        <v>129.57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848256.21</v>
      </c>
      <c r="D114" s="86">
        <f>SUM(D108:D113)</f>
        <v>0</v>
      </c>
      <c r="E114" s="86">
        <f>SUM(E108:E113)</f>
        <v>129.57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296.14</v>
      </c>
      <c r="D117" s="24" t="s">
        <v>289</v>
      </c>
      <c r="E117" s="95">
        <f>+('DOE25'!L280)+('DOE25'!L299)+('DOE25'!L318)</f>
        <v>2689.49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42632.24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1302.94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3737.67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21966.11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80213.5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150148.6</v>
      </c>
      <c r="D127" s="86">
        <f>SUM(D117:D126)</f>
        <v>0</v>
      </c>
      <c r="E127" s="86">
        <f>SUM(E117:E126)</f>
        <v>2689.49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60155.09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-155.08999999999651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60000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1058404.81</v>
      </c>
      <c r="D144" s="86">
        <f>(D114+D127+D143)</f>
        <v>0</v>
      </c>
      <c r="E144" s="86">
        <f>(E114+E127+E143)</f>
        <v>2819.06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8" workbookViewId="0">
      <selection activeCell="B17" sqref="B17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SURRY SCHOOL DISTRICT SAU 91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711907</v>
      </c>
      <c r="D10" s="182">
        <f>ROUND((C10/$C$28)*100,1)</f>
        <v>71.099999999999994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136479</v>
      </c>
      <c r="D11" s="182">
        <f>ROUND((C11/$C$28)*100,1)</f>
        <v>13.6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2986</v>
      </c>
      <c r="D15" s="182">
        <f t="shared" ref="D15:D27" si="0">ROUND((C15/$C$28)*100,1)</f>
        <v>0.3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42632</v>
      </c>
      <c r="D17" s="182">
        <f t="shared" si="0"/>
        <v>4.3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1303</v>
      </c>
      <c r="D18" s="182">
        <f t="shared" si="0"/>
        <v>0.1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3738</v>
      </c>
      <c r="D19" s="182">
        <f t="shared" si="0"/>
        <v>0.4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21966</v>
      </c>
      <c r="D20" s="182">
        <f t="shared" si="0"/>
        <v>2.2000000000000002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80214</v>
      </c>
      <c r="D21" s="182">
        <f t="shared" si="0"/>
        <v>8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>
      <c r="B28" s="187" t="s">
        <v>723</v>
      </c>
      <c r="C28" s="180">
        <f>SUM(C10:C27)</f>
        <v>1001225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1001225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780633</v>
      </c>
      <c r="D35" s="182">
        <f t="shared" ref="D35:D40" si="1">ROUND((C35/$C$41)*100,1)</f>
        <v>69.400000000000006</v>
      </c>
    </row>
    <row r="36" spans="1:4">
      <c r="B36" s="185" t="s">
        <v>743</v>
      </c>
      <c r="C36" s="179">
        <f>SUM('DOE25'!F111:J111)-SUM('DOE25'!G96:G109)+('DOE25'!F173+'DOE25'!F174+'DOE25'!I173+'DOE25'!I174)-C35</f>
        <v>10939.039999999921</v>
      </c>
      <c r="D36" s="182">
        <f t="shared" si="1"/>
        <v>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323842</v>
      </c>
      <c r="D37" s="182">
        <f t="shared" si="1"/>
        <v>28.8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9520</v>
      </c>
      <c r="D39" s="182">
        <f t="shared" si="1"/>
        <v>0.8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1124934.04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2" sqref="C12:M12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SURRY SCHOOL DISTRICT SAU 91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>
        <v>19</v>
      </c>
      <c r="B4" s="220">
        <v>3</v>
      </c>
      <c r="C4" s="280" t="s">
        <v>911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 t="s">
        <v>910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6" t="s">
        <v>848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F0A" sheet="1" objects="1" scenarios="1"/>
  <mergeCells count="223">
    <mergeCell ref="C87:M87"/>
    <mergeCell ref="C88:M88"/>
    <mergeCell ref="C89:M89"/>
    <mergeCell ref="C90:M90"/>
    <mergeCell ref="C21:M21"/>
    <mergeCell ref="C22:M22"/>
    <mergeCell ref="C23:M23"/>
    <mergeCell ref="C24:M24"/>
    <mergeCell ref="C29:M29"/>
    <mergeCell ref="C25:M25"/>
    <mergeCell ref="C81:M81"/>
    <mergeCell ref="C82:M82"/>
    <mergeCell ref="C83:M83"/>
    <mergeCell ref="C84:M84"/>
    <mergeCell ref="C85:M85"/>
    <mergeCell ref="C86:M86"/>
    <mergeCell ref="C75:M75"/>
    <mergeCell ref="C76:M76"/>
    <mergeCell ref="C77:M77"/>
    <mergeCell ref="C78:M78"/>
    <mergeCell ref="C79:M79"/>
    <mergeCell ref="C80:M80"/>
    <mergeCell ref="C68:M68"/>
    <mergeCell ref="C69:M69"/>
    <mergeCell ref="C70:M70"/>
    <mergeCell ref="A72:E72"/>
    <mergeCell ref="C73:M73"/>
    <mergeCell ref="C74:M74"/>
    <mergeCell ref="C62:M62"/>
    <mergeCell ref="C63:M63"/>
    <mergeCell ref="C64:M64"/>
    <mergeCell ref="C65:M65"/>
    <mergeCell ref="C66:M66"/>
    <mergeCell ref="C67:M67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6:M26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P32:Z32"/>
    <mergeCell ref="A1:I1"/>
    <mergeCell ref="C3:M3"/>
    <mergeCell ref="C4:M4"/>
    <mergeCell ref="F2:I2"/>
    <mergeCell ref="A2:E2"/>
    <mergeCell ref="C13:M13"/>
    <mergeCell ref="C27:M27"/>
    <mergeCell ref="C28:M28"/>
    <mergeCell ref="C11:M11"/>
    <mergeCell ref="C12:M12"/>
    <mergeCell ref="P29:Z29"/>
    <mergeCell ref="C32:M32"/>
    <mergeCell ref="C30:M30"/>
    <mergeCell ref="C31:M31"/>
    <mergeCell ref="P31:Z31"/>
    <mergeCell ref="C20:M20"/>
    <mergeCell ref="BP29:BZ29"/>
    <mergeCell ref="CC29:CM29"/>
    <mergeCell ref="C5:M5"/>
    <mergeCell ref="C6:M6"/>
    <mergeCell ref="C7:M7"/>
    <mergeCell ref="C8:M8"/>
    <mergeCell ref="C9:M9"/>
    <mergeCell ref="C10:M10"/>
    <mergeCell ref="AP31:AZ31"/>
    <mergeCell ref="AC29:AM29"/>
    <mergeCell ref="AP29:AZ29"/>
    <mergeCell ref="AC31:AM31"/>
    <mergeCell ref="HP29:HZ29"/>
    <mergeCell ref="IC29:IM29"/>
    <mergeCell ref="EP29:EZ29"/>
    <mergeCell ref="FC29:FM29"/>
    <mergeCell ref="FP29:FZ29"/>
    <mergeCell ref="GC29:GM29"/>
    <mergeCell ref="C33:M33"/>
    <mergeCell ref="C37:M37"/>
    <mergeCell ref="C38:M38"/>
    <mergeCell ref="IC30:IM30"/>
    <mergeCell ref="DC38:DM38"/>
    <mergeCell ref="DP38:DZ38"/>
    <mergeCell ref="EC38:EM38"/>
    <mergeCell ref="EP38:EZ38"/>
    <mergeCell ref="FC38:FM38"/>
    <mergeCell ref="FP38:FZ38"/>
    <mergeCell ref="GP38:GZ38"/>
    <mergeCell ref="HC38:HM38"/>
    <mergeCell ref="HP38:HZ38"/>
    <mergeCell ref="IC38:IM38"/>
    <mergeCell ref="FP32:FZ32"/>
    <mergeCell ref="GC32:GM32"/>
    <mergeCell ref="GC38:GM38"/>
    <mergeCell ref="BC29:BM29"/>
    <mergeCell ref="C39:M39"/>
    <mergeCell ref="GP29:GZ29"/>
    <mergeCell ref="HC29:HM29"/>
    <mergeCell ref="CP29:CZ29"/>
    <mergeCell ref="DC29:DM29"/>
    <mergeCell ref="DP29:DZ29"/>
    <mergeCell ref="EC29:EM29"/>
    <mergeCell ref="BC38:BM38"/>
    <mergeCell ref="AC32:AM32"/>
    <mergeCell ref="AP32:AZ32"/>
    <mergeCell ref="P38:Z38"/>
    <mergeCell ref="FC32:FM32"/>
    <mergeCell ref="HC32:HM32"/>
    <mergeCell ref="EP32:EZ32"/>
    <mergeCell ref="AC38:A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IP29:IV29"/>
    <mergeCell ref="C42:M42"/>
    <mergeCell ref="P30:Z30"/>
    <mergeCell ref="AC30:AM30"/>
    <mergeCell ref="AP30:AZ30"/>
    <mergeCell ref="C41:M41"/>
    <mergeCell ref="CC30:CM30"/>
    <mergeCell ref="CP30:CZ30"/>
    <mergeCell ref="DC30:DM30"/>
    <mergeCell ref="DP30:DZ30"/>
    <mergeCell ref="C40:M40"/>
    <mergeCell ref="BC30:BM30"/>
    <mergeCell ref="BP30:BZ30"/>
    <mergeCell ref="P40:Z40"/>
    <mergeCell ref="AC40:AM40"/>
    <mergeCell ref="BP32:BZ32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HP31:HZ31"/>
    <mergeCell ref="IC31:IM31"/>
    <mergeCell ref="IP31:IV31"/>
    <mergeCell ref="CP32:CZ32"/>
    <mergeCell ref="HP32:HZ32"/>
    <mergeCell ref="IC32:IM32"/>
    <mergeCell ref="IP32:IV32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IC40:IM40"/>
    <mergeCell ref="IP40:IV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C46:M46"/>
    <mergeCell ref="GC40:GM40"/>
    <mergeCell ref="GP40:GZ40"/>
    <mergeCell ref="HC40:HM40"/>
    <mergeCell ref="HP40:HZ40"/>
    <mergeCell ref="EC40:EM40"/>
    <mergeCell ref="C44:M44"/>
    <mergeCell ref="C43:M43"/>
    <mergeCell ref="BC40:BM40"/>
    <mergeCell ref="BP40:BZ40"/>
    <mergeCell ref="C45:M45"/>
    <mergeCell ref="FC40:FM40"/>
    <mergeCell ref="FP40:FZ40"/>
    <mergeCell ref="CC40:CM40"/>
    <mergeCell ref="CP40:CZ40"/>
    <mergeCell ref="DC40:DM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2012-09-18T13:21:37Z</cp:lastPrinted>
  <dcterms:created xsi:type="dcterms:W3CDTF">1997-12-04T19:04:30Z</dcterms:created>
  <dcterms:modified xsi:type="dcterms:W3CDTF">2012-11-21T16:13:22Z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-585414987</vt:i4>
  </property>
  <property fmtid="{D5CDD505-2E9C-101B-9397-08002B2CF9AE}" pid="3" name="_EmailSubject">
    <vt:lpwstr>year end financial reports</vt:lpwstr>
  </property>
  <property fmtid="{D5CDD505-2E9C-101B-9397-08002B2CF9AE}" pid="4" name="_AuthorEmail">
    <vt:lpwstr>liset@myfairpoint.net</vt:lpwstr>
  </property>
  <property fmtid="{D5CDD505-2E9C-101B-9397-08002B2CF9AE}" pid="5" name="_AuthorEmailDisplayName">
    <vt:lpwstr>Lise Tucker</vt:lpwstr>
  </property>
  <property fmtid="{D5CDD505-2E9C-101B-9397-08002B2CF9AE}" pid="6" name="_ReviewingToolsShownOnce">
    <vt:lpwstr/>
  </property>
</Properties>
</file>