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03" i="1" l="1"/>
  <c r="H207" i="1"/>
  <c r="H206" i="1"/>
  <c r="H204" i="1"/>
  <c r="H202" i="1"/>
  <c r="H197" i="1"/>
  <c r="H196" i="1"/>
  <c r="G96" i="1"/>
  <c r="G157" i="1"/>
  <c r="G161" i="1"/>
  <c r="F109" i="1"/>
  <c r="F28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28" i="1" s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F660" i="1" s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G661" i="1" s="1"/>
  <c r="I661" i="1" s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E113" i="2" s="1"/>
  <c r="L334" i="1"/>
  <c r="L259" i="1"/>
  <c r="L260" i="1"/>
  <c r="L340" i="1"/>
  <c r="E130" i="2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/>
  <c r="G58" i="2"/>
  <c r="G60" i="2"/>
  <c r="F2" i="11"/>
  <c r="L612" i="1"/>
  <c r="H662" i="1" s="1"/>
  <c r="L611" i="1"/>
  <c r="G662" i="1" s="1"/>
  <c r="L610" i="1"/>
  <c r="F662" i="1"/>
  <c r="C40" i="10"/>
  <c r="F59" i="1"/>
  <c r="G59" i="1"/>
  <c r="H59" i="1"/>
  <c r="I59" i="1"/>
  <c r="F78" i="1"/>
  <c r="F93" i="1"/>
  <c r="F110" i="1"/>
  <c r="G110" i="1"/>
  <c r="H78" i="1"/>
  <c r="E56" i="2" s="1"/>
  <c r="E61" i="2" s="1"/>
  <c r="E62" i="2" s="1"/>
  <c r="H93" i="1"/>
  <c r="H110" i="1"/>
  <c r="I110" i="1"/>
  <c r="J110" i="1"/>
  <c r="J111" i="1"/>
  <c r="F120" i="1"/>
  <c r="F135" i="1"/>
  <c r="F139" i="1" s="1"/>
  <c r="G120" i="1"/>
  <c r="G135" i="1"/>
  <c r="G139" i="1"/>
  <c r="H120" i="1"/>
  <c r="H135" i="1"/>
  <c r="I120" i="1"/>
  <c r="I135" i="1"/>
  <c r="I139" i="1" s="1"/>
  <c r="J120" i="1"/>
  <c r="J135" i="1"/>
  <c r="F146" i="1"/>
  <c r="F161" i="1"/>
  <c r="G146" i="1"/>
  <c r="H146" i="1"/>
  <c r="E84" i="2"/>
  <c r="H161" i="1"/>
  <c r="I146" i="1"/>
  <c r="I161" i="1"/>
  <c r="C10" i="10"/>
  <c r="C12" i="10"/>
  <c r="C15" i="10"/>
  <c r="C17" i="10"/>
  <c r="C19" i="10"/>
  <c r="C21" i="10"/>
  <c r="L249" i="1"/>
  <c r="L331" i="1"/>
  <c r="E112" i="2"/>
  <c r="L253" i="1"/>
  <c r="C24" i="10"/>
  <c r="C25" i="10"/>
  <c r="L267" i="1"/>
  <c r="L268" i="1"/>
  <c r="L348" i="1"/>
  <c r="E141" i="2" s="1"/>
  <c r="L349" i="1"/>
  <c r="I664" i="1"/>
  <c r="I669" i="1"/>
  <c r="L210" i="1"/>
  <c r="L246" i="1"/>
  <c r="G660" i="1"/>
  <c r="F661" i="1"/>
  <c r="H661" i="1"/>
  <c r="I668" i="1"/>
  <c r="C6" i="10"/>
  <c r="C5" i="10"/>
  <c r="C42" i="10"/>
  <c r="L373" i="1"/>
  <c r="L374" i="1"/>
  <c r="L375" i="1"/>
  <c r="L376" i="1"/>
  <c r="L377" i="1"/>
  <c r="L378" i="1"/>
  <c r="L379" i="1"/>
  <c r="B2" i="10"/>
  <c r="L343" i="1"/>
  <c r="E133" i="2"/>
  <c r="L344" i="1"/>
  <c r="L345" i="1"/>
  <c r="E136" i="2" s="1"/>
  <c r="E143" i="2" s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K269" i="1"/>
  <c r="J269" i="1"/>
  <c r="I269" i="1"/>
  <c r="H269" i="1"/>
  <c r="G269" i="1"/>
  <c r="L269" i="1"/>
  <c r="F269" i="1"/>
  <c r="C131" i="2"/>
  <c r="A1" i="2"/>
  <c r="A2" i="2"/>
  <c r="C8" i="2"/>
  <c r="D8" i="2"/>
  <c r="E8" i="2"/>
  <c r="F8" i="2"/>
  <c r="I438" i="1"/>
  <c r="J9" i="1"/>
  <c r="C9" i="2"/>
  <c r="D9" i="2"/>
  <c r="E9" i="2"/>
  <c r="F9" i="2"/>
  <c r="I439" i="1"/>
  <c r="J10" i="1"/>
  <c r="C10" i="2"/>
  <c r="C11" i="2"/>
  <c r="D11" i="2"/>
  <c r="E11" i="2"/>
  <c r="F11" i="2"/>
  <c r="I440" i="1"/>
  <c r="J12" i="1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C22" i="2"/>
  <c r="D22" i="2"/>
  <c r="E22" i="2"/>
  <c r="F22" i="2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G42" i="2" s="1"/>
  <c r="I456" i="1"/>
  <c r="J37" i="1"/>
  <c r="I458" i="1"/>
  <c r="J47" i="1"/>
  <c r="C48" i="2"/>
  <c r="C55" i="2"/>
  <c r="E55" i="2"/>
  <c r="F55" i="2"/>
  <c r="C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F84" i="2"/>
  <c r="C86" i="2"/>
  <c r="E86" i="2"/>
  <c r="F86" i="2"/>
  <c r="C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C110" i="2"/>
  <c r="E110" i="2"/>
  <c r="C111" i="2"/>
  <c r="C112" i="2"/>
  <c r="C113" i="2"/>
  <c r="C114" i="2"/>
  <c r="D114" i="2"/>
  <c r="F114" i="2"/>
  <c r="G114" i="2"/>
  <c r="C117" i="2"/>
  <c r="E117" i="2"/>
  <c r="C118" i="2"/>
  <c r="C119" i="2"/>
  <c r="E119" i="2"/>
  <c r="C120" i="2"/>
  <c r="C121" i="2"/>
  <c r="E121" i="2"/>
  <c r="C122" i="2"/>
  <c r="C123" i="2"/>
  <c r="E123" i="2"/>
  <c r="C124" i="2"/>
  <c r="D126" i="2"/>
  <c r="D127" i="2" s="1"/>
  <c r="F127" i="2"/>
  <c r="G127" i="2"/>
  <c r="C129" i="2"/>
  <c r="E129" i="2"/>
  <c r="F129" i="2"/>
  <c r="F143" i="2" s="1"/>
  <c r="F144" i="2" s="1"/>
  <c r="D133" i="2"/>
  <c r="D143" i="2"/>
  <c r="F133" i="2"/>
  <c r="K418" i="1"/>
  <c r="K426" i="1"/>
  <c r="K432" i="1"/>
  <c r="L262" i="1"/>
  <c r="C134" i="2"/>
  <c r="E134" i="2"/>
  <c r="L263" i="1"/>
  <c r="C135" i="2" s="1"/>
  <c r="L264" i="1"/>
  <c r="C136" i="2" s="1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19" i="1"/>
  <c r="G617" i="1" s="1"/>
  <c r="H19" i="1"/>
  <c r="I19" i="1"/>
  <c r="F32" i="1"/>
  <c r="G32" i="1"/>
  <c r="H32" i="1"/>
  <c r="I32" i="1"/>
  <c r="F50" i="1"/>
  <c r="G50" i="1"/>
  <c r="H50" i="1"/>
  <c r="I50" i="1"/>
  <c r="I51" i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I191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J361" i="1"/>
  <c r="K361" i="1"/>
  <c r="I367" i="1"/>
  <c r="I368" i="1" s="1"/>
  <c r="H633" i="1" s="1"/>
  <c r="J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4" i="1"/>
  <c r="L425" i="1"/>
  <c r="F426" i="1"/>
  <c r="G426" i="1"/>
  <c r="G433" i="1" s="1"/>
  <c r="H426" i="1"/>
  <c r="I426" i="1"/>
  <c r="I433" i="1" s="1"/>
  <c r="J426" i="1"/>
  <c r="L428" i="1"/>
  <c r="L429" i="1"/>
  <c r="L430" i="1"/>
  <c r="L431" i="1"/>
  <c r="F432" i="1"/>
  <c r="G432" i="1"/>
  <c r="H432" i="1"/>
  <c r="H433" i="1" s="1"/>
  <c r="I432" i="1"/>
  <c r="J432" i="1"/>
  <c r="J433" i="1" s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G570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H649" i="1" s="1"/>
  <c r="J649" i="1" s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8" i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J652" i="1"/>
  <c r="G653" i="1"/>
  <c r="H653" i="1"/>
  <c r="J653" i="1" s="1"/>
  <c r="H654" i="1"/>
  <c r="L255" i="1"/>
  <c r="K256" i="1"/>
  <c r="K270" i="1" s="1"/>
  <c r="I256" i="1"/>
  <c r="I270" i="1" s="1"/>
  <c r="G256" i="1"/>
  <c r="G270" i="1" s="1"/>
  <c r="G159" i="2"/>
  <c r="C18" i="2"/>
  <c r="F31" i="2"/>
  <c r="C26" i="10"/>
  <c r="L327" i="1"/>
  <c r="H659" i="1" s="1"/>
  <c r="L350" i="1"/>
  <c r="L289" i="1"/>
  <c r="F659" i="1" s="1"/>
  <c r="A31" i="12"/>
  <c r="C69" i="2"/>
  <c r="A40" i="12"/>
  <c r="D12" i="13"/>
  <c r="C12" i="13"/>
  <c r="G8" i="2"/>
  <c r="G161" i="2"/>
  <c r="D61" i="2"/>
  <c r="E49" i="2"/>
  <c r="D18" i="13"/>
  <c r="C18" i="13"/>
  <c r="D15" i="13"/>
  <c r="C15" i="13"/>
  <c r="D7" i="13"/>
  <c r="F102" i="2"/>
  <c r="D18" i="2"/>
  <c r="E18" i="2"/>
  <c r="D17" i="13"/>
  <c r="C17" i="13"/>
  <c r="D6" i="13"/>
  <c r="C6" i="13"/>
  <c r="E8" i="13"/>
  <c r="C8" i="13"/>
  <c r="G158" i="2"/>
  <c r="C90" i="2"/>
  <c r="F77" i="2"/>
  <c r="F80" i="2" s="1"/>
  <c r="F61" i="2"/>
  <c r="F62" i="2" s="1"/>
  <c r="F103" i="2" s="1"/>
  <c r="D31" i="2"/>
  <c r="C127" i="2"/>
  <c r="C77" i="2"/>
  <c r="D49" i="2"/>
  <c r="D50" i="2"/>
  <c r="G156" i="2"/>
  <c r="F49" i="2"/>
  <c r="F50" i="2" s="1"/>
  <c r="F18" i="2"/>
  <c r="G162" i="2"/>
  <c r="G157" i="2"/>
  <c r="G155" i="2"/>
  <c r="G102" i="2"/>
  <c r="E102" i="2"/>
  <c r="C102" i="2"/>
  <c r="F90" i="2"/>
  <c r="C61" i="2"/>
  <c r="C62" i="2" s="1"/>
  <c r="E31" i="2"/>
  <c r="C31" i="2"/>
  <c r="G61" i="2"/>
  <c r="D29" i="13"/>
  <c r="C29" i="13"/>
  <c r="D19" i="13"/>
  <c r="C19" i="13"/>
  <c r="D14" i="13"/>
  <c r="C14" i="13"/>
  <c r="E13" i="13"/>
  <c r="C13" i="13"/>
  <c r="C7" i="13"/>
  <c r="E77" i="2"/>
  <c r="E80" i="2" s="1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L433" i="1"/>
  <c r="G637" i="1" s="1"/>
  <c r="J637" i="1" s="1"/>
  <c r="I168" i="1"/>
  <c r="H168" i="1"/>
  <c r="J643" i="1"/>
  <c r="J642" i="1"/>
  <c r="J475" i="1"/>
  <c r="H625" i="1"/>
  <c r="H475" i="1"/>
  <c r="H623" i="1"/>
  <c r="J623" i="1" s="1"/>
  <c r="F475" i="1"/>
  <c r="H621" i="1" s="1"/>
  <c r="J621" i="1" s="1"/>
  <c r="I475" i="1"/>
  <c r="H624" i="1"/>
  <c r="J624" i="1" s="1"/>
  <c r="G475" i="1"/>
  <c r="H622" i="1" s="1"/>
  <c r="J622" i="1" s="1"/>
  <c r="G337" i="1"/>
  <c r="G351" i="1"/>
  <c r="C23" i="10"/>
  <c r="F168" i="1"/>
  <c r="J139" i="1"/>
  <c r="F570" i="1"/>
  <c r="H256" i="1"/>
  <c r="H270" i="1"/>
  <c r="G62" i="2"/>
  <c r="G103" i="2" s="1"/>
  <c r="G22" i="2"/>
  <c r="K597" i="1"/>
  <c r="G646" i="1" s="1"/>
  <c r="J646" i="1" s="1"/>
  <c r="K544" i="1"/>
  <c r="C29" i="10"/>
  <c r="H139" i="1"/>
  <c r="L400" i="1"/>
  <c r="C138" i="2" s="1"/>
  <c r="L392" i="1"/>
  <c r="C137" i="2" s="1"/>
  <c r="A13" i="12"/>
  <c r="F22" i="13"/>
  <c r="H25" i="13"/>
  <c r="C25" i="13"/>
  <c r="J639" i="1"/>
  <c r="H570" i="1"/>
  <c r="L559" i="1"/>
  <c r="J544" i="1"/>
  <c r="L336" i="1"/>
  <c r="H337" i="1"/>
  <c r="H351" i="1"/>
  <c r="F337" i="1"/>
  <c r="F351" i="1"/>
  <c r="G191" i="1"/>
  <c r="H191" i="1"/>
  <c r="H192" i="1" s="1"/>
  <c r="G628" i="1" s="1"/>
  <c r="J628" i="1" s="1"/>
  <c r="C35" i="10"/>
  <c r="L308" i="1"/>
  <c r="D5" i="13"/>
  <c r="C5" i="13"/>
  <c r="E16" i="13"/>
  <c r="C16" i="13"/>
  <c r="C49" i="2"/>
  <c r="C50" i="2"/>
  <c r="J654" i="1"/>
  <c r="J644" i="1"/>
  <c r="L569" i="1"/>
  <c r="I570" i="1"/>
  <c r="I544" i="1"/>
  <c r="G36" i="2"/>
  <c r="L564" i="1"/>
  <c r="G544" i="1"/>
  <c r="H544" i="1"/>
  <c r="C22" i="13"/>
  <c r="L407" i="1"/>
  <c r="G636" i="1" s="1"/>
  <c r="J636" i="1" s="1"/>
  <c r="L337" i="1"/>
  <c r="L351" i="1"/>
  <c r="G632" i="1" s="1"/>
  <c r="J632" i="1"/>
  <c r="H33" i="13"/>
  <c r="G160" i="2"/>
  <c r="G21" i="2"/>
  <c r="G163" i="2"/>
  <c r="F663" i="1"/>
  <c r="I337" i="1"/>
  <c r="I351" i="1"/>
  <c r="H51" i="1"/>
  <c r="H618" i="1"/>
  <c r="J618" i="1" s="1"/>
  <c r="E90" i="2"/>
  <c r="D80" i="2"/>
  <c r="G551" i="1"/>
  <c r="I111" i="1"/>
  <c r="I192" i="1" s="1"/>
  <c r="G629" i="1" s="1"/>
  <c r="J629" i="1" s="1"/>
  <c r="F31" i="13"/>
  <c r="L361" i="1"/>
  <c r="L570" i="1"/>
  <c r="J270" i="1"/>
  <c r="E50" i="2"/>
  <c r="J651" i="1"/>
  <c r="F191" i="1"/>
  <c r="G51" i="1"/>
  <c r="H617" i="1"/>
  <c r="J617" i="1" s="1"/>
  <c r="D144" i="2"/>
  <c r="K549" i="1"/>
  <c r="H551" i="1"/>
  <c r="J192" i="1"/>
  <c r="G645" i="1"/>
  <c r="G31" i="13"/>
  <c r="G33" i="13"/>
  <c r="G168" i="1"/>
  <c r="A22" i="12"/>
  <c r="F544" i="1"/>
  <c r="F551" i="1"/>
  <c r="L523" i="1"/>
  <c r="L544" i="1"/>
  <c r="K548" i="1"/>
  <c r="J551" i="1"/>
  <c r="G630" i="1"/>
  <c r="J630" i="1"/>
  <c r="I662" i="1"/>
  <c r="J641" i="1"/>
  <c r="G9" i="2"/>
  <c r="C27" i="10"/>
  <c r="G634" i="1"/>
  <c r="J634" i="1"/>
  <c r="D31" i="13"/>
  <c r="C31" i="13"/>
  <c r="F33" i="13"/>
  <c r="F666" i="1"/>
  <c r="F671" i="1"/>
  <c r="C4" i="10"/>
  <c r="E33" i="13"/>
  <c r="D35" i="13"/>
  <c r="D33" i="13"/>
  <c r="D36" i="13"/>
  <c r="C39" i="10"/>
  <c r="D87" i="2"/>
  <c r="D90" i="2" s="1"/>
  <c r="F192" i="1"/>
  <c r="G626" i="1" s="1"/>
  <c r="J626" i="1" s="1"/>
  <c r="C38" i="10"/>
  <c r="C80" i="2"/>
  <c r="C103" i="2" s="1"/>
  <c r="F51" i="1"/>
  <c r="H616" i="1" s="1"/>
  <c r="J616" i="1" s="1"/>
  <c r="K433" i="1"/>
  <c r="G133" i="2"/>
  <c r="G143" i="2" s="1"/>
  <c r="G144" i="2" s="1"/>
  <c r="G46" i="2"/>
  <c r="G49" i="2"/>
  <c r="J50" i="1"/>
  <c r="G11" i="2"/>
  <c r="J19" i="1"/>
  <c r="G620" i="1" s="1"/>
  <c r="G18" i="2"/>
  <c r="H645" i="1"/>
  <c r="J645" i="1"/>
  <c r="D102" i="2"/>
  <c r="K550" i="1"/>
  <c r="K551" i="1"/>
  <c r="L381" i="1"/>
  <c r="G635" i="1"/>
  <c r="J635" i="1" s="1"/>
  <c r="G111" i="1"/>
  <c r="D55" i="2"/>
  <c r="D62" i="2"/>
  <c r="D103" i="2" s="1"/>
  <c r="C32" i="10"/>
  <c r="C130" i="2"/>
  <c r="E124" i="2"/>
  <c r="E122" i="2"/>
  <c r="E120" i="2"/>
  <c r="E118" i="2"/>
  <c r="E127" i="2"/>
  <c r="E111" i="2"/>
  <c r="E109" i="2"/>
  <c r="E114" i="2" s="1"/>
  <c r="E144" i="2" s="1"/>
  <c r="K337" i="1"/>
  <c r="K351" i="1"/>
  <c r="J337" i="1"/>
  <c r="J351" i="1"/>
  <c r="C20" i="10"/>
  <c r="C18" i="10"/>
  <c r="C16" i="10"/>
  <c r="C13" i="10"/>
  <c r="C28" i="10" s="1"/>
  <c r="C11" i="10"/>
  <c r="H660" i="1"/>
  <c r="I660" i="1" s="1"/>
  <c r="G625" i="1"/>
  <c r="J625" i="1" s="1"/>
  <c r="H647" i="1"/>
  <c r="J647" i="1" s="1"/>
  <c r="C36" i="10"/>
  <c r="C41" i="10" s="1"/>
  <c r="G192" i="1"/>
  <c r="G627" i="1"/>
  <c r="J627" i="1" s="1"/>
  <c r="D20" i="10" l="1"/>
  <c r="D23" i="10"/>
  <c r="D12" i="10"/>
  <c r="D17" i="10"/>
  <c r="D10" i="10"/>
  <c r="D19" i="10"/>
  <c r="C30" i="10"/>
  <c r="D25" i="10"/>
  <c r="D18" i="10"/>
  <c r="D11" i="10"/>
  <c r="D16" i="10"/>
  <c r="D21" i="10"/>
  <c r="D22" i="10"/>
  <c r="D26" i="10"/>
  <c r="D24" i="10"/>
  <c r="D27" i="10"/>
  <c r="D15" i="10"/>
  <c r="D13" i="10"/>
  <c r="D40" i="10"/>
  <c r="D38" i="10"/>
  <c r="D37" i="10"/>
  <c r="D39" i="10"/>
  <c r="D36" i="10"/>
  <c r="D35" i="10"/>
  <c r="D41" i="10" s="1"/>
  <c r="J32" i="1"/>
  <c r="J51" i="1" s="1"/>
  <c r="H620" i="1" s="1"/>
  <c r="J620" i="1" s="1"/>
  <c r="G30" i="2"/>
  <c r="G31" i="2" s="1"/>
  <c r="G50" i="2" s="1"/>
  <c r="I551" i="1"/>
  <c r="G659" i="1"/>
  <c r="L256" i="1"/>
  <c r="L270" i="1" s="1"/>
  <c r="G631" i="1" s="1"/>
  <c r="J631" i="1" s="1"/>
  <c r="H663" i="1"/>
  <c r="C140" i="2"/>
  <c r="C143" i="2" s="1"/>
  <c r="C144" i="2" s="1"/>
  <c r="E103" i="2"/>
  <c r="H655" i="1" l="1"/>
  <c r="H671" i="1"/>
  <c r="H666" i="1"/>
  <c r="G663" i="1"/>
  <c r="I659" i="1"/>
  <c r="I663" i="1" s="1"/>
  <c r="D28" i="10"/>
  <c r="G666" i="1" l="1"/>
  <c r="G671" i="1"/>
  <c r="I671" i="1"/>
  <c r="C7" i="10" s="1"/>
  <c r="I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<sst xmlns="http://schemas.openxmlformats.org/spreadsheetml/2006/main" count="3943" uniqueCount="910">
  <si>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</si>
  <si>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</si>
  <si>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</si>
  <si>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</si>
  <si>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</si>
  <si>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</si>
  <si>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</si>
  <si>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</si>
  <si>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</si>
  <si>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</si>
  <si>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</si>
  <si>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</si>
  <si>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</si>
  <si>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</si>
  <si>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</si>
  <si>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</si>
  <si>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</si>
  <si>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</si>
  <si>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</si>
  <si>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</si>
  <si>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</si>
  <si>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</si>
  <si>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</si>
  <si>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</si>
  <si>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</si>
  <si>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</si>
  <si>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</si>
  <si>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</si>
  <si>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</si>
  <si>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</si>
  <si>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</si>
  <si>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</si>
  <si>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</si>
  <si>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</si>
  <si>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</si>
  <si>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</si>
  <si>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</si>
  <si>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</si>
  <si>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</si>
  <si>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</si>
  <si>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</si>
  <si>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</si>
  <si>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</si>
  <si>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</si>
  <si>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</si>
  <si>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</si>
  <si>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</si>
  <si>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</si>
  <si>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</si>
  <si>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</si>
  <si>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</si>
  <si>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</si>
  <si>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</si>
  <si>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</si>
  <si>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</si>
  <si>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</si>
  <si>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</si>
  <si>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</si>
  <si>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</si>
  <si>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</si>
  <si>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</si>
  <si>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</si>
  <si>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</si>
  <si>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</si>
  <si>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</si>
  <si>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</si>
  <si>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</si>
  <si>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</si>
  <si>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</si>
  <si>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</si>
  <si>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</si>
  <si>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</si>
  <si>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</si>
  <si>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</si>
  <si>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</si>
  <si>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</si>
  <si>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</si>
  <si>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</si>
  <si>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</si>
  <si>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</si>
  <si>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</si>
  <si>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</si>
  <si>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</si>
  <si>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</si>
  <si>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</si>
  <si>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</si>
  <si>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</si>
  <si>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</si>
  <si>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</si>
  <si>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</si>
  <si>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</si>
  <si>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</si>
  <si>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</si>
  <si>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</si>
  <si>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</si>
  <si>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</si>
  <si>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</si>
  <si>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</si>
  <si>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</si>
  <si>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</si>
  <si>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</si>
  <si>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</si>
  <si>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</si>
  <si>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</si>
  <si>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</si>
  <si>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</si>
  <si>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</si>
  <si>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</si>
  <si>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</si>
  <si>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</si>
  <si>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</si>
  <si>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</si>
  <si>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</si>
  <si>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</si>
  <si>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</si>
  <si>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</si>
  <si>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</si>
  <si>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</si>
  <si>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</si>
  <si>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</si>
  <si>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</si>
  <si>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</si>
  <si>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</si>
  <si>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</si>
  <si>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</si>
  <si>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</si>
  <si>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</si>
  <si>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</si>
  <si>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</si>
  <si>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</si>
  <si>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</si>
  <si>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</si>
  <si>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</si>
  <si>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</si>
  <si>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</si>
  <si>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</si>
  <si>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</si>
  <si>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</si>
  <si>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</si>
  <si>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</si>
  <si>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</si>
  <si>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</si>
  <si>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</si>
  <si>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</si>
  <si>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</si>
  <si>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</si>
  <si>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</si>
  <si>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</si>
  <si>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</si>
  <si>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</si>
  <si>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</si>
  <si>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</si>
  <si>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</si>
  <si>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</si>
  <si>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</si>
  <si>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</si>
  <si>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</si>
  <si>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</si>
  <si>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</si>
  <si>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</si>
  <si>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</si>
  <si>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</si>
  <si>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</si>
  <si>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</si>
  <si>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</si>
  <si>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</si>
  <si>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</si>
  <si>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</si>
  <si>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</si>
  <si>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</si>
  <si>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</si>
  <si>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</si>
  <si>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</si>
  <si>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</si>
  <si>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</si>
  <si>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</si>
  <si>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</si>
  <si>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</si>
  <si>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</si>
  <si>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</si>
  <si>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</si>
  <si>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</si>
  <si>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</si>
  <si>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</si>
  <si>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</si>
  <si>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</si>
  <si>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</si>
  <si>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</si>
  <si>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</si>
  <si>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</si>
  <si>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</si>
  <si>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</si>
  <si>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</si>
  <si>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</si>
  <si>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</si>
  <si>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</si>
  <si>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</si>
  <si>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</si>
  <si>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</si>
  <si>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</si>
  <si>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</si>
  <si>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</si>
  <si>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</si>
  <si>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</si>
  <si>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</si>
  <si>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</si>
  <si>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</si>
  <si>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</si>
  <si>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</si>
  <si>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</si>
  <si>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</si>
  <si>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</si>
  <si>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</si>
  <si>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</si>
  <si>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</si>
  <si>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</si>
  <si>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</si>
  <si>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</si>
  <si>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</si>
  <si>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</si>
  <si>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</si>
  <si>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</si>
  <si>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</si>
  <si>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</si>
  <si>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</si>
  <si>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</si>
  <si>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</si>
  <si>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</si>
  <si>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</si>
  <si>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</si>
  <si>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</si>
  <si>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</si>
  <si>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</si>
  <si>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</si>
  <si>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</si>
  <si>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</si>
  <si>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</si>
  <si>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</si>
  <si>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</si>
  <si>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</si>
  <si>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</si>
  <si>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</si>
  <si>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</si>
  <si>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</si>
  <si>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</si>
  <si>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</si>
  <si>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</si>
  <si>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</si>
  <si>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</si>
  <si>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</si>
  <si>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</si>
  <si>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</si>
  <si>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</si>
  <si>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</si>
  <si>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</si>
  <si>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</si>
  <si>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</si>
  <si>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</si>
  <si>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</si>
  <si>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</si>
  <si>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</si>
  <si>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</si>
  <si>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</si>
  <si>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</si>
  <si>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</si>
  <si>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</si>
  <si>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</si>
  <si>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</si>
  <si>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</si>
  <si>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</si>
  <si>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</si>
  <si>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</si>
  <si>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</si>
  <si>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</si>
  <si>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</si>
  <si>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</si>
  <si>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</si>
  <si>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</si>
  <si>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</si>
  <si>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</si>
  <si>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</si>
  <si>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</si>
  <si>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</si>
  <si>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</si>
  <si>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</si>
  <si>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</si>
  <si>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</si>
  <si>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</si>
  <si>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</si>
  <si>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</si>
  <si>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</si>
  <si>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</si>
  <si>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</si>
  <si>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</si>
  <si>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</si>
  <si>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</si>
  <si>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</si>
  <si>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</si>
  <si>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</si>
  <si>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</si>
  <si>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</si>
  <si>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</si>
  <si>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</si>
  <si>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</si>
  <si>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</si>
  <si>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</si>
  <si>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</si>
  <si>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</si>
  <si>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</si>
  <si>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</si>
  <si>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</si>
  <si>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</si>
  <si>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</si>
  <si>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</si>
  <si>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</si>
  <si>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</si>
  <si>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</si>
  <si>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</si>
  <si>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</si>
  <si>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</si>
  <si>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</si>
  <si>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</si>
  <si>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</si>
  <si>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</si>
  <si>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</si>
  <si>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</si>
  <si>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</si>
  <si>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</si>
  <si>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</si>
  <si>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</si>
  <si>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</si>
  <si>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</si>
  <si>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</si>
  <si>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</si>
  <si>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</si>
  <si>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</si>
  <si>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</si>
  <si>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</si>
  <si>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</si>
  <si>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</si>
  <si>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</si>
  <si>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</si>
  <si>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</si>
  <si>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</si>
  <si>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</si>
  <si>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</si>
  <si>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</si>
  <si>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</si>
  <si>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</si>
  <si>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</si>
  <si>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</si>
  <si>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</si>
  <si>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</si>
  <si>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</si>
  <si>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</si>
  <si>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</si>
  <si>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</si>
  <si>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</si>
  <si>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</si>
  <si>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</si>
  <si>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</si>
  <si>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</si>
  <si>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</si>
  <si>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</si>
  <si>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</si>
  <si>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</si>
  <si>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</si>
  <si>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</si>
  <si>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</si>
  <si>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</si>
  <si>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</si>
  <si>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</si>
  <si>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</si>
  <si>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</si>
  <si>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</si>
  <si>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</si>
  <si>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</si>
  <si>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</si>
  <si>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</si>
  <si>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</si>
  <si>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</si>
  <si>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</si>
  <si>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</si>
  <si>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</si>
  <si>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</si>
  <si>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</si>
  <si>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</si>
  <si>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</si>
  <si>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</si>
  <si>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</si>
  <si>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</si>
  <si>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</si>
  <si>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</si>
  <si>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</si>
  <si>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</si>
  <si>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</si>
  <si>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</si>
  <si>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</si>
  <si>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</si>
  <si>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</si>
  <si>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</si>
  <si>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</si>
  <si>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</si>
  <si>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</si>
  <si>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</si>
  <si>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</si>
  <si>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</si>
  <si>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</si>
  <si>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</si>
  <si>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</si>
  <si>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</si>
  <si>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</si>
  <si>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</si>
  <si>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</si>
  <si>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</si>
  <si>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</si>
  <si>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</si>
  <si>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</si>
  <si>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</si>
  <si>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</si>
  <si>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</si>
  <si>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</si>
  <si>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</si>
  <si>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</si>
  <si>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</si>
  <si>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</si>
  <si>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</si>
  <si>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</si>
  <si>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</si>
  <si>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</si>
  <si>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</si>
  <si>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</si>
  <si>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</si>
  <si>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</si>
  <si>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</si>
  <si>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</si>
  <si>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</si>
  <si>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</si>
  <si>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</si>
  <si>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</si>
  <si>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</si>
  <si>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</si>
  <si>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</si>
  <si>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</si>
  <si>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</si>
  <si>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</si>
  <si>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</si>
  <si>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</si>
  <si>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</si>
  <si>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</si>
  <si>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</si>
  <si>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</si>
  <si>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</si>
  <si>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</si>
  <si>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</si>
  <si>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</si>
  <si>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</si>
  <si>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</si>
  <si>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</si>
  <si>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</si>
  <si>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</si>
  <si>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</si>
  <si>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</si>
  <si>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</si>
  <si>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</si>
  <si>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</si>
  <si>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</si>
  <si>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</si>
  <si>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</si>
  <si>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</si>
  <si>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</si>
  <si>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</si>
  <si>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</si>
  <si>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</si>
  <si>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</si>
  <si>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</si>
  <si>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</si>
  <si>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</si>
  <si>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</si>
  <si>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</si>
  <si>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</si>
  <si>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</si>
  <si>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</si>
  <si>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</si>
  <si>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</si>
  <si>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</si>
  <si>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</si>
  <si>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</si>
  <si>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</si>
  <si>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</si>
  <si>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</si>
  <si>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</si>
  <si>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</si>
  <si>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</si>
  <si>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</si>
  <si>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</si>
  <si>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</si>
  <si>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</si>
  <si>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</si>
  <si>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</si>
  <si>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</si>
  <si>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</si>
  <si>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</si>
  <si>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</si>
  <si>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</si>
  <si>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</si>
  <si>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</si>
  <si>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</si>
  <si>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</si>
  <si>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</si>
  <si>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</si>
  <si>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</si>
  <si>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</si>
  <si>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</si>
  <si>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</si>
  <si>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</si>
  <si>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</si>
  <si>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</si>
  <si>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</si>
  <si>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</si>
  <si>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</si>
  <si>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</si>
  <si>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</si>
  <si>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</si>
  <si>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</si>
  <si>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</si>
  <si>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</si>
  <si>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</si>
  <si>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</si>
  <si>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</si>
  <si>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</si>
  <si>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</si>
  <si>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</si>
  <si>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</si>
  <si>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</si>
  <si>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</si>
  <si>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</si>
  <si>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</si>
  <si>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</si>
  <si>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</si>
  <si>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</si>
  <si>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</si>
  <si>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</si>
  <si>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</si>
  <si>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</si>
  <si>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</si>
  <si>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</si>
  <si>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</si>
  <si>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</si>
  <si>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</si>
  <si>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</si>
  <si>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</si>
  <si>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</si>
  <si>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</si>
  <si>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</si>
  <si>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</si>
  <si>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</si>
  <si>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</si>
  <si>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</si>
  <si>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</si>
  <si>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</si>
  <si>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</si>
  <si>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</si>
  <si>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</si>
  <si>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</si>
  <si>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</si>
  <si>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</si>
  <si>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</si>
  <si>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</si>
  <si>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</si>
  <si>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</si>
  <si>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</si>
  <si>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</si>
  <si>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</si>
  <si>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</si>
  <si>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</si>
  <si>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</si>
  <si>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</si>
  <si>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</si>
  <si>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</si>
  <si>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</si>
  <si>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</si>
  <si>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</si>
  <si>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</si>
  <si>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</si>
  <si>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</si>
  <si>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</si>
  <si>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</si>
  <si>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</si>
  <si>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</si>
  <si>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</si>
  <si>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</si>
  <si>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</si>
  <si>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</si>
  <si>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</si>
  <si>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</si>
  <si>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</si>
  <si>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</si>
  <si>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</si>
  <si>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</si>
  <si>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</si>
  <si>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</si>
  <si>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</si>
  <si>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</si>
  <si>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</si>
  <si>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</si>
  <si>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</si>
  <si>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</si>
  <si>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</si>
  <si>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</si>
  <si>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</si>
  <si>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</si>
  <si>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</si>
  <si>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</si>
  <si>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</si>
  <si>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</si>
  <si>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</si>
  <si>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</si>
  <si>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</si>
  <si>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</si>
  <si>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</si>
  <si>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</si>
  <si>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</si>
  <si>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</si>
  <si>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</si>
  <si>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</si>
  <si>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</si>
  <si>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</si>
  <si>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</si>
  <si>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</si>
  <si>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</si>
  <si>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</si>
  <si>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</si>
  <si>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</si>
  <si>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</si>
  <si>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</si>
  <si>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</si>
  <si>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</si>
  <si>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</si>
  <si>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</si>
  <si>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</si>
  <si>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</si>
  <si>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</si>
  <si>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</si>
  <si>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</si>
  <si>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</si>
  <si>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</si>
  <si>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</si>
  <si>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</si>
  <si>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</si>
  <si>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</si>
  <si>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</si>
  <si>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</si>
  <si>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</si>
  <si>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</si>
  <si>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</si>
  <si>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</si>
  <si>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</si>
  <si>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</si>
  <si>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</si>
  <si>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</si>
  <si>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</si>
  <si>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</si>
  <si>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</si>
  <si>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</si>
  <si>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</si>
  <si>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</si>
  <si>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</si>
  <si>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</si>
  <si>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</si>
  <si>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</si>
  <si>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</si>
  <si>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</si>
  <si>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</si>
  <si>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</si>
  <si>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</si>
  <si>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</si>
  <si>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</si>
  <si>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</si>
  <si>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</si>
  <si>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</si>
  <si>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</si>
  <si>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</si>
  <si>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</si>
  <si>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</si>
  <si>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</si>
  <si>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</si>
  <si>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</si>
  <si>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</si>
  <si>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</si>
  <si>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</si>
  <si>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</si>
  <si>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</si>
  <si>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</si>
  <si>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</si>
  <si>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</si>
  <si>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</si>
  <si>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</si>
  <si>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</si>
  <si>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</si>
  <si>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</si>
  <si>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</si>
  <si>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</si>
  <si>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</si>
  <si>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</si>
  <si>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</si>
  <si>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</si>
  <si>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</si>
  <si>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</si>
  <si>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</si>
  <si>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</si>
  <si>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</si>
  <si>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</si>
  <si>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</si>
  <si>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</si>
  <si>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</si>
  <si>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</si>
  <si>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</si>
  <si>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</si>
  <si>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</si>
  <si>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</si>
  <si>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</si>
  <si>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</si>
  <si>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</si>
  <si>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</si>
  <si>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</si>
  <si>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</si>
  <si>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</si>
  <si>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</si>
  <si>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</si>
  <si>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</si>
  <si>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</si>
  <si>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</si>
  <si>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</si>
  <si>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</si>
  <si>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</si>
  <si>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</si>
  <si>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</si>
  <si>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</si>
  <si>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</si>
  <si>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</si>
  <si>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</si>
  <si>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</si>
  <si>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</si>
  <si>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</si>
  <si>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</si>
  <si>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</si>
  <si>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</si>
  <si>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</si>
  <si>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</si>
  <si>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</si>
  <si>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</si>
  <si>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</si>
  <si>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</si>
  <si>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</si>
  <si>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</si>
  <si>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</si>
  <si>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</si>
  <si>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</si>
  <si>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</si>
  <si>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</si>
  <si>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</si>
  <si>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</si>
  <si>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</si>
  <si>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</si>
  <si>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</si>
  <si>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</si>
  <si>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</si>
  <si>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</si>
  <si>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</si>
  <si>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</si>
  <si>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</si>
  <si>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</si>
  <si>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</si>
  <si>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</si>
  <si>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</si>
  <si>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</si>
  <si>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</si>
  <si>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</si>
  <si>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</si>
  <si>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</si>
  <si>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</si>
  <si>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</si>
  <si>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</si>
  <si>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</si>
  <si>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</si>
  <si>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</si>
  <si>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</si>
  <si>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</si>
  <si>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</si>
  <si>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</si>
  <si>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</si>
  <si>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</si>
  <si>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</si>
  <si>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</si>
  <si>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</si>
  <si>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</si>
  <si>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</si>
  <si>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</si>
  <si>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</si>
  <si>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</si>
  <si>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</si>
  <si>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</si>
  <si>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</si>
  <si>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</si>
  <si>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</si>
  <si>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</si>
  <si>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</si>
  <si>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</si>
  <si>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</si>
  <si>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</si>
  <si>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</si>
  <si>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</si>
  <si>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</si>
  <si>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</si>
  <si>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</si>
  <si>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</si>
  <si>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</si>
  <si>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</si>
  <si>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</si>
  <si>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</si>
  <si>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</si>
  <si>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</si>
  <si>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</si>
  <si>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</si>
  <si>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</si>
  <si>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</si>
  <si>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</si>
  <si>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</si>
  <si>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</si>
  <si>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</si>
  <si>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</si>
  <si>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</si>
  <si>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</si>
  <si>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</si>
  <si>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</si>
  <si>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</si>
  <si>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</si>
  <si>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</si>
  <si>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</si>
  <si>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</si>
  <si>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</si>
  <si>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</si>
  <si>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</si>
  <si>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</si>
  <si>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</si>
  <si>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</si>
  <si>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</si>
  <si>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</si>
  <si>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</si>
  <si>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</si>
  <si>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</si>
  <si>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</si>
  <si>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</si>
  <si>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</si>
  <si>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</si>
  <si>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</si>
  <si>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</si>
  <si>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</si>
  <si>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</si>
  <si>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</si>
  <si>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</si>
  <si>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</si>
  <si>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</si>
  <si>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</si>
  <si>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</si>
  <si>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</si>
  <si>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</si>
  <si>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</si>
  <si>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</si>
  <si>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</si>
  <si>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</si>
  <si>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</si>
  <si>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</si>
  <si>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</si>
  <si>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</si>
  <si>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</si>
  <si>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</si>
  <si>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</si>
  <si>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</si>
  <si>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</si>
  <si>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</si>
  <si>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</si>
  <si>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</si>
  <si>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</si>
  <si>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</si>
  <si>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</si>
  <si>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</si>
  <si>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</si>
  <si>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</si>
  <si>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</si>
  <si>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</si>
  <si>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</si>
  <si>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</si>
  <si>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</si>
  <si>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</si>
  <si>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</si>
  <si>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</si>
  <si>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</si>
  <si>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</si>
  <si>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</si>
  <si>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</si>
  <si>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</si>
  <si>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</si>
  <si>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</si>
  <si>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</si>
  <si>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</si>
  <si>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</si>
  <si>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</si>
  <si>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Tamworth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</si>
</sst>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525</v>
      </c>
      <c r="C2" s="21">
        <v>525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250312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177612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25237</v>
      </c>
      <c r="G12" s="18"/>
      <c r="H12" s="18"/>
      <c r="I12" s="18"/>
      <c r="J12" s="67">
        <f>SUM(I440)</f>
        <v>20000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33059</v>
      </c>
      <c r="G13" s="18">
        <v>14273</v>
      </c>
      <c r="H13" s="18">
        <v>49862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4241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312849</v>
      </c>
      <c r="G19" s="41">
        <f>SUM(G9:G18)</f>
        <v>14273</v>
      </c>
      <c r="H19" s="41">
        <f>SUM(H9:H18)</f>
        <v>49862</v>
      </c>
      <c r="I19" s="41">
        <f>SUM(I9:I18)</f>
        <v>0</v>
      </c>
      <c r="J19" s="41">
        <f>SUM(J9:J18)</f>
        <v>197612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20000</v>
      </c>
      <c r="G22" s="18">
        <v>14106</v>
      </c>
      <c r="H22" s="18">
        <v>11131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65285</v>
      </c>
      <c r="G24" s="18">
        <v>167</v>
      </c>
      <c r="H24" s="18">
        <v>2954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58595+15+1390+49790-31464</f>
        <v>78326</v>
      </c>
      <c r="G28" s="18"/>
      <c r="H28" s="18">
        <v>31524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4253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163611</v>
      </c>
      <c r="G32" s="41">
        <f>SUM(G22:G31)</f>
        <v>14273</v>
      </c>
      <c r="H32" s="41">
        <f>SUM(H22:H31)</f>
        <v>49862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197612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59577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89661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149238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197612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312849</v>
      </c>
      <c r="G51" s="41">
        <f>G50+G32</f>
        <v>14273</v>
      </c>
      <c r="H51" s="41">
        <f>H50+H32</f>
        <v>49862</v>
      </c>
      <c r="I51" s="41">
        <f>I50+I32</f>
        <v>0</v>
      </c>
      <c r="J51" s="41">
        <f>J50+J32</f>
        <v>197612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4133934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4133934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190</v>
      </c>
      <c r="G95" s="18"/>
      <c r="H95" s="18"/>
      <c r="I95" s="18"/>
      <c r="J95" s="18">
        <v>144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19590+6734</f>
        <v>26324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57391+5853</f>
        <v>63244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63434</v>
      </c>
      <c r="G110" s="41">
        <f>SUM(G95:G109)</f>
        <v>26324</v>
      </c>
      <c r="H110" s="41">
        <f>SUM(H95:H109)</f>
        <v>0</v>
      </c>
      <c r="I110" s="41">
        <f>SUM(I95:I109)</f>
        <v>0</v>
      </c>
      <c r="J110" s="41">
        <f>SUM(J95:J109)</f>
        <v>144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4197368</v>
      </c>
      <c r="G111" s="41">
        <f>G59+G110</f>
        <v>26324</v>
      </c>
      <c r="H111" s="41">
        <f>H59+H78+H93+H110</f>
        <v>0</v>
      </c>
      <c r="I111" s="41">
        <f>I59+I110</f>
        <v>0</v>
      </c>
      <c r="J111" s="41">
        <f>J59+J110</f>
        <v>144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644141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795897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558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1440596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49084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64057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855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3586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116727</v>
      </c>
      <c r="G135" s="41">
        <f>SUM(G122:G134)</f>
        <v>855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1557323</v>
      </c>
      <c r="G139" s="41">
        <f>G120+SUM(G135:G136)</f>
        <v>855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82158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38489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55338+13590</f>
        <v>68928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15028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29800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44828</v>
      </c>
      <c r="G161" s="41">
        <f>SUM(G149:G160)</f>
        <v>68928</v>
      </c>
      <c r="H161" s="41">
        <f>SUM(H149:H160)</f>
        <v>120647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44828</v>
      </c>
      <c r="G168" s="41">
        <f>G146+G161+SUM(G162:G167)</f>
        <v>68928</v>
      </c>
      <c r="H168" s="41">
        <f>H146+H161+SUM(H162:H167)</f>
        <v>120647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20458</v>
      </c>
      <c r="H178" s="18"/>
      <c r="I178" s="18"/>
      <c r="J178" s="18">
        <v>20000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20458</v>
      </c>
      <c r="H182" s="41">
        <f>SUM(H178:H181)</f>
        <v>0</v>
      </c>
      <c r="I182" s="41">
        <f>SUM(I178:I181)</f>
        <v>0</v>
      </c>
      <c r="J182" s="41">
        <f>SUM(J178:J181)</f>
        <v>20000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25151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25151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25151</v>
      </c>
      <c r="G191" s="41">
        <f>G182+SUM(G187:G190)</f>
        <v>20458</v>
      </c>
      <c r="H191" s="41">
        <f>+H182+SUM(H187:H190)</f>
        <v>0</v>
      </c>
      <c r="I191" s="41">
        <f>I176+I182+SUM(I187:I190)</f>
        <v>0</v>
      </c>
      <c r="J191" s="41">
        <f>J182</f>
        <v>20000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5824670</v>
      </c>
      <c r="G192" s="47">
        <f>G111+G139+G168+G191</f>
        <v>116565</v>
      </c>
      <c r="H192" s="47">
        <f>H111+H139+H168+H191</f>
        <v>120647</v>
      </c>
      <c r="I192" s="47">
        <f>I111+I139+I168+I191</f>
        <v>0</v>
      </c>
      <c r="J192" s="47">
        <f>J111+J139+J191</f>
        <v>20144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1128117</v>
      </c>
      <c r="G196" s="18">
        <v>507336</v>
      </c>
      <c r="H196" s="18">
        <f>6028+3595</f>
        <v>9623</v>
      </c>
      <c r="I196" s="18">
        <v>22039</v>
      </c>
      <c r="J196" s="18">
        <v>11701</v>
      </c>
      <c r="K196" s="18">
        <v>112</v>
      </c>
      <c r="L196" s="19">
        <f>SUM(F196:K196)</f>
        <v>1678928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451848</v>
      </c>
      <c r="G197" s="18">
        <v>291341</v>
      </c>
      <c r="H197" s="18">
        <f>62260+57640</f>
        <v>119900</v>
      </c>
      <c r="I197" s="18">
        <v>508</v>
      </c>
      <c r="J197" s="18"/>
      <c r="K197" s="18"/>
      <c r="L197" s="19">
        <f>SUM(F197:K197)</f>
        <v>863597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12796</v>
      </c>
      <c r="G199" s="18">
        <v>813</v>
      </c>
      <c r="H199" s="18"/>
      <c r="I199" s="18">
        <v>2817</v>
      </c>
      <c r="J199" s="18"/>
      <c r="K199" s="18"/>
      <c r="L199" s="19">
        <f>SUM(F199:K199)</f>
        <v>16426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215128</v>
      </c>
      <c r="G201" s="18">
        <v>121925</v>
      </c>
      <c r="H201" s="18">
        <v>4633</v>
      </c>
      <c r="I201" s="18">
        <v>1664</v>
      </c>
      <c r="J201" s="18">
        <v>202</v>
      </c>
      <c r="K201" s="18"/>
      <c r="L201" s="19">
        <f t="shared" ref="L201:L207" si="0">SUM(F201:K201)</f>
        <v>343552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72161</v>
      </c>
      <c r="G202" s="18">
        <v>28265</v>
      </c>
      <c r="H202" s="18">
        <f>3813+14242</f>
        <v>18055</v>
      </c>
      <c r="I202" s="18">
        <v>8844</v>
      </c>
      <c r="J202" s="18"/>
      <c r="K202" s="18"/>
      <c r="L202" s="19">
        <f t="shared" si="0"/>
        <v>127325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0</v>
      </c>
      <c r="G203" s="18">
        <v>0</v>
      </c>
      <c r="H203" s="18">
        <f>223355+3820</f>
        <v>227175</v>
      </c>
      <c r="I203" s="18">
        <v>19</v>
      </c>
      <c r="J203" s="18"/>
      <c r="K203" s="18">
        <v>3216</v>
      </c>
      <c r="L203" s="19">
        <f t="shared" si="0"/>
        <v>230410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117113</v>
      </c>
      <c r="G204" s="18">
        <v>63008</v>
      </c>
      <c r="H204" s="18">
        <f>3068+3341</f>
        <v>6409</v>
      </c>
      <c r="I204" s="18">
        <v>1448</v>
      </c>
      <c r="J204" s="18"/>
      <c r="K204" s="18">
        <v>1167</v>
      </c>
      <c r="L204" s="19">
        <f t="shared" si="0"/>
        <v>189145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96733</v>
      </c>
      <c r="G206" s="18">
        <v>63081</v>
      </c>
      <c r="H206" s="18">
        <f>27358+16399</f>
        <v>43757</v>
      </c>
      <c r="I206" s="18">
        <v>112058</v>
      </c>
      <c r="J206" s="18">
        <v>27005</v>
      </c>
      <c r="K206" s="18"/>
      <c r="L206" s="19">
        <f t="shared" si="0"/>
        <v>342634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130605+3538</f>
        <v>134143</v>
      </c>
      <c r="I207" s="18"/>
      <c r="J207" s="18"/>
      <c r="K207" s="18"/>
      <c r="L207" s="19">
        <f t="shared" si="0"/>
        <v>134143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2093896</v>
      </c>
      <c r="G210" s="41">
        <f t="shared" si="1"/>
        <v>1075769</v>
      </c>
      <c r="H210" s="41">
        <f t="shared" si="1"/>
        <v>563695</v>
      </c>
      <c r="I210" s="41">
        <f t="shared" si="1"/>
        <v>149397</v>
      </c>
      <c r="J210" s="41">
        <f t="shared" si="1"/>
        <v>38908</v>
      </c>
      <c r="K210" s="41">
        <f t="shared" si="1"/>
        <v>4495</v>
      </c>
      <c r="L210" s="41">
        <f t="shared" si="1"/>
        <v>3926160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1354747</v>
      </c>
      <c r="I232" s="18"/>
      <c r="J232" s="18"/>
      <c r="K232" s="18"/>
      <c r="L232" s="19">
        <f>SUM(F232:K232)</f>
        <v>1354747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152771</v>
      </c>
      <c r="I233" s="18"/>
      <c r="J233" s="18"/>
      <c r="K233" s="18"/>
      <c r="L233" s="19">
        <f>SUM(F233:K233)</f>
        <v>152771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63218</v>
      </c>
      <c r="I243" s="18"/>
      <c r="J243" s="18"/>
      <c r="K243" s="18"/>
      <c r="L243" s="19">
        <f t="shared" si="4"/>
        <v>63218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1570736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1570736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2093896</v>
      </c>
      <c r="G256" s="41">
        <f t="shared" si="8"/>
        <v>1075769</v>
      </c>
      <c r="H256" s="41">
        <f t="shared" si="8"/>
        <v>2134431</v>
      </c>
      <c r="I256" s="41">
        <f t="shared" si="8"/>
        <v>149397</v>
      </c>
      <c r="J256" s="41">
        <f t="shared" si="8"/>
        <v>38908</v>
      </c>
      <c r="K256" s="41">
        <f t="shared" si="8"/>
        <v>4495</v>
      </c>
      <c r="L256" s="41">
        <f t="shared" si="8"/>
        <v>5496896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164103</v>
      </c>
      <c r="L259" s="19">
        <f>SUM(F259:K259)</f>
        <v>164103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89990</v>
      </c>
      <c r="L260" s="19">
        <f>SUM(F260:K260)</f>
        <v>89990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20458</v>
      </c>
      <c r="L262" s="19">
        <f>SUM(F262:K262)</f>
        <v>20458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</v>
      </c>
      <c r="L265" s="19">
        <f t="shared" si="9"/>
        <v>20000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294551</v>
      </c>
      <c r="L269" s="41">
        <f t="shared" si="9"/>
        <v>294551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2093896</v>
      </c>
      <c r="G270" s="42">
        <f t="shared" si="11"/>
        <v>1075769</v>
      </c>
      <c r="H270" s="42">
        <f t="shared" si="11"/>
        <v>2134431</v>
      </c>
      <c r="I270" s="42">
        <f t="shared" si="11"/>
        <v>149397</v>
      </c>
      <c r="J270" s="42">
        <f t="shared" si="11"/>
        <v>38908</v>
      </c>
      <c r="K270" s="42">
        <f t="shared" si="11"/>
        <v>299046</v>
      </c>
      <c r="L270" s="42">
        <f t="shared" si="11"/>
        <v>5791447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54795</v>
      </c>
      <c r="G275" s="18">
        <v>25646</v>
      </c>
      <c r="H275" s="18">
        <v>139</v>
      </c>
      <c r="I275" s="18">
        <v>9888</v>
      </c>
      <c r="J275" s="18"/>
      <c r="K275" s="18"/>
      <c r="L275" s="19">
        <f>SUM(F275:K275)</f>
        <v>90468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>
        <v>1977</v>
      </c>
      <c r="J276" s="18"/>
      <c r="K276" s="18"/>
      <c r="L276" s="19">
        <f>SUM(F276:K276)</f>
        <v>1977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9244</v>
      </c>
      <c r="G278" s="18">
        <v>1540</v>
      </c>
      <c r="H278" s="18"/>
      <c r="I278" s="18"/>
      <c r="J278" s="18"/>
      <c r="K278" s="18"/>
      <c r="L278" s="19">
        <f>SUM(F278:K278)</f>
        <v>10784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>
        <v>591</v>
      </c>
      <c r="J280" s="18"/>
      <c r="K280" s="18"/>
      <c r="L280" s="19">
        <f t="shared" ref="L280:L286" si="12">SUM(F280:K280)</f>
        <v>591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2875</v>
      </c>
      <c r="G281" s="18">
        <v>937</v>
      </c>
      <c r="H281" s="18">
        <v>8754</v>
      </c>
      <c r="I281" s="18"/>
      <c r="J281" s="18">
        <v>1767</v>
      </c>
      <c r="K281" s="18"/>
      <c r="L281" s="19">
        <f t="shared" si="12"/>
        <v>14333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2494</v>
      </c>
      <c r="L284" s="19">
        <f t="shared" si="12"/>
        <v>2494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66914</v>
      </c>
      <c r="G289" s="42">
        <f t="shared" si="13"/>
        <v>28123</v>
      </c>
      <c r="H289" s="42">
        <f t="shared" si="13"/>
        <v>8893</v>
      </c>
      <c r="I289" s="42">
        <f t="shared" si="13"/>
        <v>12456</v>
      </c>
      <c r="J289" s="42">
        <f t="shared" si="13"/>
        <v>1767</v>
      </c>
      <c r="K289" s="42">
        <f t="shared" si="13"/>
        <v>2494</v>
      </c>
      <c r="L289" s="41">
        <f t="shared" si="13"/>
        <v>120647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66914</v>
      </c>
      <c r="G337" s="41">
        <f t="shared" si="20"/>
        <v>28123</v>
      </c>
      <c r="H337" s="41">
        <f t="shared" si="20"/>
        <v>8893</v>
      </c>
      <c r="I337" s="41">
        <f t="shared" si="20"/>
        <v>12456</v>
      </c>
      <c r="J337" s="41">
        <f t="shared" si="20"/>
        <v>1767</v>
      </c>
      <c r="K337" s="41">
        <f t="shared" si="20"/>
        <v>2494</v>
      </c>
      <c r="L337" s="41">
        <f t="shared" si="20"/>
        <v>120647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66914</v>
      </c>
      <c r="G351" s="41">
        <f>G337</f>
        <v>28123</v>
      </c>
      <c r="H351" s="41">
        <f>H337</f>
        <v>8893</v>
      </c>
      <c r="I351" s="41">
        <f>I337</f>
        <v>12456</v>
      </c>
      <c r="J351" s="41">
        <f>J337</f>
        <v>1767</v>
      </c>
      <c r="K351" s="47">
        <f>K337+K350</f>
        <v>2494</v>
      </c>
      <c r="L351" s="41">
        <f>L337+L350</f>
        <v>120647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37650</v>
      </c>
      <c r="G357" s="18">
        <v>2880</v>
      </c>
      <c r="H357" s="18">
        <v>25132</v>
      </c>
      <c r="I357" s="18">
        <v>49621</v>
      </c>
      <c r="J357" s="18">
        <v>1282</v>
      </c>
      <c r="K357" s="18"/>
      <c r="L357" s="13">
        <f>SUM(F357:K357)</f>
        <v>116565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37650</v>
      </c>
      <c r="G361" s="47">
        <f t="shared" si="22"/>
        <v>2880</v>
      </c>
      <c r="H361" s="47">
        <f t="shared" si="22"/>
        <v>25132</v>
      </c>
      <c r="I361" s="47">
        <f t="shared" si="22"/>
        <v>49621</v>
      </c>
      <c r="J361" s="47">
        <f t="shared" si="22"/>
        <v>1282</v>
      </c>
      <c r="K361" s="47">
        <f t="shared" si="22"/>
        <v>0</v>
      </c>
      <c r="L361" s="47">
        <f t="shared" si="22"/>
        <v>116565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46410</v>
      </c>
      <c r="G366" s="18"/>
      <c r="H366" s="18"/>
      <c r="I366" s="56">
        <f>SUM(F366:H366)</f>
        <v>46410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3211</v>
      </c>
      <c r="G367" s="63"/>
      <c r="H367" s="63"/>
      <c r="I367" s="56">
        <f>SUM(F367:H367)</f>
        <v>3211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49621</v>
      </c>
      <c r="G368" s="47">
        <f>SUM(G366:G367)</f>
        <v>0</v>
      </c>
      <c r="H368" s="47">
        <f>SUM(H366:H367)</f>
        <v>0</v>
      </c>
      <c r="I368" s="47">
        <f>SUM(I366:I367)</f>
        <v>49621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66</v>
      </c>
      <c r="I395" s="18"/>
      <c r="J395" s="24" t="s">
        <v>289</v>
      </c>
      <c r="K395" s="24" t="s">
        <v>289</v>
      </c>
      <c r="L395" s="56">
        <f t="shared" si="26"/>
        <v>66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20000</v>
      </c>
      <c r="H396" s="18">
        <v>78</v>
      </c>
      <c r="I396" s="18"/>
      <c r="J396" s="24" t="s">
        <v>289</v>
      </c>
      <c r="K396" s="24" t="s">
        <v>289</v>
      </c>
      <c r="L396" s="56">
        <f t="shared" si="26"/>
        <v>20078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144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20144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</v>
      </c>
      <c r="H407" s="47">
        <f>H392+H400+H406</f>
        <v>144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20144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25151</v>
      </c>
      <c r="L414" s="56">
        <f t="shared" si="27"/>
        <v>25151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25151</v>
      </c>
      <c r="L418" s="47">
        <f t="shared" si="28"/>
        <v>25151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25151</v>
      </c>
      <c r="L433" s="47">
        <f t="shared" si="32"/>
        <v>25151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177612</v>
      </c>
      <c r="H439" s="18"/>
      <c r="I439" s="56">
        <f t="shared" si="33"/>
        <v>177612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>
        <v>20000</v>
      </c>
      <c r="H440" s="18"/>
      <c r="I440" s="56">
        <f t="shared" si="33"/>
        <v>20000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197612</v>
      </c>
      <c r="H445" s="13">
        <f>SUM(H438:H444)</f>
        <v>0</v>
      </c>
      <c r="I445" s="13">
        <f>SUM(I438:I444)</f>
        <v>197612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197612</v>
      </c>
      <c r="H458" s="18"/>
      <c r="I458" s="56">
        <f t="shared" si="34"/>
        <v>197612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197612</v>
      </c>
      <c r="H459" s="83">
        <f>SUM(H453:H458)</f>
        <v>0</v>
      </c>
      <c r="I459" s="83">
        <f>SUM(I453:I458)</f>
        <v>197612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197612</v>
      </c>
      <c r="H460" s="42">
        <f>H451+H459</f>
        <v>0</v>
      </c>
      <c r="I460" s="42">
        <f>I451+I459</f>
        <v>197612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116015</v>
      </c>
      <c r="G464" s="18">
        <v>0</v>
      </c>
      <c r="H464" s="18">
        <v>0</v>
      </c>
      <c r="I464" s="18">
        <v>0</v>
      </c>
      <c r="J464" s="18">
        <v>202619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5824670</v>
      </c>
      <c r="G467" s="18">
        <v>116565</v>
      </c>
      <c r="H467" s="18">
        <v>120647</v>
      </c>
      <c r="I467" s="18"/>
      <c r="J467" s="18">
        <v>20144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5824670</v>
      </c>
      <c r="G469" s="53">
        <f>SUM(G467:G468)</f>
        <v>116565</v>
      </c>
      <c r="H469" s="53">
        <f>SUM(H467:H468)</f>
        <v>120647</v>
      </c>
      <c r="I469" s="53">
        <f>SUM(I467:I468)</f>
        <v>0</v>
      </c>
      <c r="J469" s="53">
        <f>SUM(J467:J468)</f>
        <v>20144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5791447</v>
      </c>
      <c r="G471" s="18">
        <v>116565</v>
      </c>
      <c r="H471" s="18">
        <v>120647</v>
      </c>
      <c r="I471" s="18"/>
      <c r="J471" s="18">
        <v>25151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5791447</v>
      </c>
      <c r="G473" s="53">
        <f>SUM(G471:G472)</f>
        <v>116565</v>
      </c>
      <c r="H473" s="53">
        <f>SUM(H471:H472)</f>
        <v>120647</v>
      </c>
      <c r="I473" s="53">
        <f>SUM(I471:I472)</f>
        <v>0</v>
      </c>
      <c r="J473" s="53">
        <f>SUM(J471:J472)</f>
        <v>25151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149238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197612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396313</v>
      </c>
      <c r="G520" s="18">
        <v>272808</v>
      </c>
      <c r="H520" s="18">
        <v>119900</v>
      </c>
      <c r="I520" s="18">
        <v>2000</v>
      </c>
      <c r="J520" s="18"/>
      <c r="K520" s="18"/>
      <c r="L520" s="88">
        <f>SUM(F520:K520)</f>
        <v>791021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152771</v>
      </c>
      <c r="I522" s="18"/>
      <c r="J522" s="18"/>
      <c r="K522" s="18"/>
      <c r="L522" s="88">
        <f>SUM(F522:K522)</f>
        <v>152771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396313</v>
      </c>
      <c r="G523" s="108">
        <f t="shared" ref="G523:L523" si="36">SUM(G520:G522)</f>
        <v>272808</v>
      </c>
      <c r="H523" s="108">
        <f t="shared" si="36"/>
        <v>272671</v>
      </c>
      <c r="I523" s="108">
        <f t="shared" si="36"/>
        <v>2000</v>
      </c>
      <c r="J523" s="108">
        <f t="shared" si="36"/>
        <v>0</v>
      </c>
      <c r="K523" s="108">
        <f t="shared" si="36"/>
        <v>0</v>
      </c>
      <c r="L523" s="89">
        <f t="shared" si="36"/>
        <v>943792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122464</v>
      </c>
      <c r="G525" s="18">
        <v>63856</v>
      </c>
      <c r="H525" s="18"/>
      <c r="I525" s="18">
        <v>1068</v>
      </c>
      <c r="J525" s="18">
        <v>201</v>
      </c>
      <c r="K525" s="18"/>
      <c r="L525" s="88">
        <f>SUM(F525:K525)</f>
        <v>187589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122464</v>
      </c>
      <c r="G528" s="89">
        <f t="shared" ref="G528:L528" si="37">SUM(G525:G527)</f>
        <v>63856</v>
      </c>
      <c r="H528" s="89">
        <f t="shared" si="37"/>
        <v>0</v>
      </c>
      <c r="I528" s="89">
        <f t="shared" si="37"/>
        <v>1068</v>
      </c>
      <c r="J528" s="89">
        <f t="shared" si="37"/>
        <v>201</v>
      </c>
      <c r="K528" s="89">
        <f t="shared" si="37"/>
        <v>0</v>
      </c>
      <c r="L528" s="89">
        <f t="shared" si="37"/>
        <v>187589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32909</v>
      </c>
      <c r="G530" s="18">
        <v>16478</v>
      </c>
      <c r="H530" s="18">
        <v>2124</v>
      </c>
      <c r="I530" s="18">
        <v>75</v>
      </c>
      <c r="J530" s="18"/>
      <c r="K530" s="18"/>
      <c r="L530" s="88">
        <f>SUM(F530:K530)</f>
        <v>51586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32909</v>
      </c>
      <c r="G533" s="89">
        <f t="shared" ref="G533:L533" si="38">SUM(G530:G532)</f>
        <v>16478</v>
      </c>
      <c r="H533" s="89">
        <f t="shared" si="38"/>
        <v>2124</v>
      </c>
      <c r="I533" s="89">
        <f t="shared" si="38"/>
        <v>75</v>
      </c>
      <c r="J533" s="89">
        <f t="shared" si="38"/>
        <v>0</v>
      </c>
      <c r="K533" s="89">
        <f t="shared" si="38"/>
        <v>0</v>
      </c>
      <c r="L533" s="89">
        <f t="shared" si="38"/>
        <v>51586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3538</v>
      </c>
      <c r="I540" s="18"/>
      <c r="J540" s="18"/>
      <c r="K540" s="18"/>
      <c r="L540" s="88">
        <f>SUM(F540:K540)</f>
        <v>3538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3538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3538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551686</v>
      </c>
      <c r="G544" s="89">
        <f t="shared" ref="G544:L544" si="41">G523+G528+G533+G538+G543</f>
        <v>353142</v>
      </c>
      <c r="H544" s="89">
        <f t="shared" si="41"/>
        <v>278333</v>
      </c>
      <c r="I544" s="89">
        <f t="shared" si="41"/>
        <v>3143</v>
      </c>
      <c r="J544" s="89">
        <f t="shared" si="41"/>
        <v>201</v>
      </c>
      <c r="K544" s="89">
        <f t="shared" si="41"/>
        <v>0</v>
      </c>
      <c r="L544" s="89">
        <f t="shared" si="41"/>
        <v>1186505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791021</v>
      </c>
      <c r="G548" s="87">
        <f>L525</f>
        <v>187589</v>
      </c>
      <c r="H548" s="87">
        <f>L530</f>
        <v>51586</v>
      </c>
      <c r="I548" s="87">
        <f>L535</f>
        <v>0</v>
      </c>
      <c r="J548" s="87">
        <f>L540</f>
        <v>3538</v>
      </c>
      <c r="K548" s="87">
        <f>SUM(F548:J548)</f>
        <v>1033734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152771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152771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943792</v>
      </c>
      <c r="G551" s="89">
        <f t="shared" si="42"/>
        <v>187589</v>
      </c>
      <c r="H551" s="89">
        <f t="shared" si="42"/>
        <v>51586</v>
      </c>
      <c r="I551" s="89">
        <f t="shared" si="42"/>
        <v>0</v>
      </c>
      <c r="J551" s="89">
        <f t="shared" si="42"/>
        <v>3538</v>
      </c>
      <c r="K551" s="89">
        <f t="shared" si="42"/>
        <v>1186505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55535</v>
      </c>
      <c r="G566" s="18">
        <v>18506</v>
      </c>
      <c r="H566" s="18"/>
      <c r="I566" s="18">
        <v>484</v>
      </c>
      <c r="J566" s="18"/>
      <c r="K566" s="18"/>
      <c r="L566" s="88">
        <f>SUM(F566:K566)</f>
        <v>74525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55535</v>
      </c>
      <c r="G569" s="194">
        <f t="shared" ref="G569:L569" si="45">SUM(G566:G568)</f>
        <v>18506</v>
      </c>
      <c r="H569" s="194">
        <f t="shared" si="45"/>
        <v>0</v>
      </c>
      <c r="I569" s="194">
        <f t="shared" si="45"/>
        <v>484</v>
      </c>
      <c r="J569" s="194">
        <f t="shared" si="45"/>
        <v>0</v>
      </c>
      <c r="K569" s="194">
        <f t="shared" si="45"/>
        <v>0</v>
      </c>
      <c r="L569" s="194">
        <f t="shared" si="45"/>
        <v>74525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55535</v>
      </c>
      <c r="G570" s="89">
        <f t="shared" ref="G570:L570" si="46">G559+G564+G569</f>
        <v>18506</v>
      </c>
      <c r="H570" s="89">
        <f t="shared" si="46"/>
        <v>0</v>
      </c>
      <c r="I570" s="89">
        <f t="shared" si="46"/>
        <v>484</v>
      </c>
      <c r="J570" s="89">
        <f t="shared" si="46"/>
        <v>0</v>
      </c>
      <c r="K570" s="89">
        <f t="shared" si="46"/>
        <v>0</v>
      </c>
      <c r="L570" s="89">
        <f t="shared" si="46"/>
        <v>74525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1354747</v>
      </c>
      <c r="I574" s="87">
        <f>SUM(F574:H574)</f>
        <v>1354747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57640</v>
      </c>
      <c r="G578" s="18"/>
      <c r="H578" s="18"/>
      <c r="I578" s="87">
        <f t="shared" si="47"/>
        <v>57640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152771</v>
      </c>
      <c r="I581" s="87">
        <f t="shared" si="47"/>
        <v>152771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117406</v>
      </c>
      <c r="I590" s="18"/>
      <c r="J590" s="18">
        <v>63218</v>
      </c>
      <c r="K590" s="104">
        <f t="shared" ref="K590:K596" si="48">SUM(H590:J590)</f>
        <v>180624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3538</v>
      </c>
      <c r="I591" s="18"/>
      <c r="J591" s="18"/>
      <c r="K591" s="104">
        <f t="shared" si="48"/>
        <v>3538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5084</v>
      </c>
      <c r="I593" s="18"/>
      <c r="J593" s="18"/>
      <c r="K593" s="104">
        <f t="shared" si="48"/>
        <v>5084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8115</v>
      </c>
      <c r="I594" s="18"/>
      <c r="J594" s="18"/>
      <c r="K594" s="104">
        <f t="shared" si="48"/>
        <v>8115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134143</v>
      </c>
      <c r="I597" s="108">
        <f>SUM(I590:I596)</f>
        <v>0</v>
      </c>
      <c r="J597" s="108">
        <f>SUM(J590:J596)</f>
        <v>63218</v>
      </c>
      <c r="K597" s="108">
        <f>SUM(K590:K596)</f>
        <v>197361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40675</v>
      </c>
      <c r="I603" s="18"/>
      <c r="J603" s="18"/>
      <c r="K603" s="104">
        <f>SUM(H603:J603)</f>
        <v>40675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40675</v>
      </c>
      <c r="I604" s="108">
        <f>SUM(I601:I603)</f>
        <v>0</v>
      </c>
      <c r="J604" s="108">
        <f>SUM(J601:J603)</f>
        <v>0</v>
      </c>
      <c r="K604" s="108">
        <f>SUM(K601:K603)</f>
        <v>40675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22040</v>
      </c>
      <c r="G610" s="18">
        <v>2353</v>
      </c>
      <c r="H610" s="18">
        <v>4613</v>
      </c>
      <c r="I610" s="18">
        <v>2817</v>
      </c>
      <c r="J610" s="18"/>
      <c r="K610" s="18"/>
      <c r="L610" s="88">
        <f>SUM(F610:K610)</f>
        <v>31823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22040</v>
      </c>
      <c r="G613" s="108">
        <f t="shared" si="49"/>
        <v>2353</v>
      </c>
      <c r="H613" s="108">
        <f t="shared" si="49"/>
        <v>4613</v>
      </c>
      <c r="I613" s="108">
        <f t="shared" si="49"/>
        <v>2817</v>
      </c>
      <c r="J613" s="108">
        <f t="shared" si="49"/>
        <v>0</v>
      </c>
      <c r="K613" s="108">
        <f t="shared" si="49"/>
        <v>0</v>
      </c>
      <c r="L613" s="89">
        <f t="shared" si="49"/>
        <v>31823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312849</v>
      </c>
      <c r="H616" s="109">
        <f>SUM(F51)</f>
        <v>312849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14273</v>
      </c>
      <c r="H617" s="109">
        <f>SUM(G51)</f>
        <v>14273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49862</v>
      </c>
      <c r="H618" s="109">
        <f>SUM(H51)</f>
        <v>49862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197612</v>
      </c>
      <c r="H620" s="109">
        <f>SUM(J51)</f>
        <v>197612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149238</v>
      </c>
      <c r="H621" s="109">
        <f>F475</f>
        <v>149238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197612</v>
      </c>
      <c r="H625" s="109">
        <f>J475</f>
        <v>197612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5824670</v>
      </c>
      <c r="H626" s="104">
        <f>SUM(F467)</f>
        <v>5824670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116565</v>
      </c>
      <c r="H627" s="104">
        <f>SUM(G467)</f>
        <v>116565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120647</v>
      </c>
      <c r="H628" s="104">
        <f>SUM(H467)</f>
        <v>120647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20144</v>
      </c>
      <c r="H630" s="104">
        <f>SUM(J467)</f>
        <v>20144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5791447</v>
      </c>
      <c r="H631" s="104">
        <f>SUM(F471)</f>
        <v>5791447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120647</v>
      </c>
      <c r="H632" s="104">
        <f>SUM(H471)</f>
        <v>120647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49621</v>
      </c>
      <c r="H633" s="104">
        <f>I368</f>
        <v>49621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116565</v>
      </c>
      <c r="H634" s="104">
        <f>SUM(G471)</f>
        <v>116565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20144</v>
      </c>
      <c r="H636" s="164">
        <f>SUM(J467)</f>
        <v>20144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25151</v>
      </c>
      <c r="H637" s="164">
        <f>SUM(J471)</f>
        <v>25151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197612</v>
      </c>
      <c r="H639" s="104">
        <f>SUM(G460)</f>
        <v>197612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197612</v>
      </c>
      <c r="H641" s="104">
        <f>SUM(I460)</f>
        <v>197612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144</v>
      </c>
      <c r="H643" s="104">
        <f>H407</f>
        <v>144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20000</v>
      </c>
      <c r="H644" s="104">
        <f>G407</f>
        <v>20000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20144</v>
      </c>
      <c r="H645" s="104">
        <f>L407</f>
        <v>20144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197361</v>
      </c>
      <c r="H646" s="104">
        <f>L207+L225+L243</f>
        <v>197361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40675</v>
      </c>
      <c r="H647" s="104">
        <f>(J256+J337)-(J254+J335)</f>
        <v>40675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134143</v>
      </c>
      <c r="H648" s="104">
        <f>H597</f>
        <v>134143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63218</v>
      </c>
      <c r="H650" s="104">
        <f>J597</f>
        <v>63218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20458</v>
      </c>
      <c r="H651" s="104">
        <f>K262+K344</f>
        <v>20458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20000</v>
      </c>
      <c r="H654" s="104">
        <f>K265+K346</f>
        <v>20000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4163372</v>
      </c>
      <c r="G659" s="19">
        <f>(L228+L308+L358)</f>
        <v>0</v>
      </c>
      <c r="H659" s="19">
        <f>(L246+L327+L359)</f>
        <v>1570736</v>
      </c>
      <c r="I659" s="19">
        <f>SUM(F659:H659)</f>
        <v>5734108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26324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26324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134143</v>
      </c>
      <c r="G661" s="19">
        <f>(L225+L305)-(J225+J305)</f>
        <v>0</v>
      </c>
      <c r="H661" s="19">
        <f>(L243+L324)-(J243+J324)</f>
        <v>63218</v>
      </c>
      <c r="I661" s="19">
        <f>SUM(F661:H661)</f>
        <v>197361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130138</v>
      </c>
      <c r="G662" s="200">
        <f>SUM(G574:G586)+SUM(I601:I603)+L611</f>
        <v>0</v>
      </c>
      <c r="H662" s="200">
        <f>SUM(H574:H586)+SUM(J601:J603)+L612</f>
        <v>1507518</v>
      </c>
      <c r="I662" s="19">
        <f>SUM(F662:H662)</f>
        <v>1637656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3872767</v>
      </c>
      <c r="G663" s="19">
        <f>G659-SUM(G660:G662)</f>
        <v>0</v>
      </c>
      <c r="H663" s="19">
        <f>H659-SUM(H660:H662)</f>
        <v>0</v>
      </c>
      <c r="I663" s="19">
        <f>I659-SUM(I660:I662)</f>
        <v>3872767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222.96</v>
      </c>
      <c r="G664" s="249"/>
      <c r="H664" s="249"/>
      <c r="I664" s="19">
        <f>SUM(F664:H664)</f>
        <v>222.96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17369.78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17369.78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17369.78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17369.78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3" sqref="B33:C33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Tamworth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1182912</v>
      </c>
      <c r="C9" s="230">
        <f>'DOE25'!G196+'DOE25'!G214+'DOE25'!G232+'DOE25'!G275+'DOE25'!G294+'DOE25'!G313</f>
        <v>532982</v>
      </c>
    </row>
    <row r="10" spans="1:3">
      <c r="A10" t="s">
        <v>779</v>
      </c>
      <c r="B10" s="241">
        <v>1182912</v>
      </c>
      <c r="C10" s="241">
        <v>532982</v>
      </c>
    </row>
    <row r="11" spans="1:3">
      <c r="A11" t="s">
        <v>780</v>
      </c>
      <c r="B11" s="241"/>
      <c r="C11" s="241"/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1182912</v>
      </c>
      <c r="C13" s="232">
        <f>SUM(C10:C12)</f>
        <v>532982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451848</v>
      </c>
      <c r="C18" s="230">
        <f>'DOE25'!G197+'DOE25'!G215+'DOE25'!G233+'DOE25'!G276+'DOE25'!G295+'DOE25'!G314</f>
        <v>291341</v>
      </c>
    </row>
    <row r="19" spans="1:3">
      <c r="A19" t="s">
        <v>779</v>
      </c>
      <c r="B19" s="241">
        <v>262736</v>
      </c>
      <c r="C19" s="241">
        <v>199656</v>
      </c>
    </row>
    <row r="20" spans="1:3">
      <c r="A20" t="s">
        <v>780</v>
      </c>
      <c r="B20" s="241">
        <v>189112</v>
      </c>
      <c r="C20" s="241">
        <v>91685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451848</v>
      </c>
      <c r="C22" s="232">
        <f>SUM(C19:C21)</f>
        <v>291341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22040</v>
      </c>
      <c r="C36" s="236">
        <f>'DOE25'!G199+'DOE25'!G217+'DOE25'!G235+'DOE25'!G278+'DOE25'!G297+'DOE25'!G316</f>
        <v>2353</v>
      </c>
    </row>
    <row r="37" spans="1:3">
      <c r="A37" t="s">
        <v>779</v>
      </c>
      <c r="B37" s="241">
        <v>22040</v>
      </c>
      <c r="C37" s="241">
        <v>2353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22040</v>
      </c>
      <c r="C40" s="232">
        <f>SUM(C37:C39)</f>
        <v>2353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7" activePane="bottomLeft" state="frozen"/>
      <selection pane="bottomLeft" activeCell="E15" sqref="E15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Tamworth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4066469</v>
      </c>
      <c r="D5" s="20">
        <f>SUM('DOE25'!L196:L199)+SUM('DOE25'!L214:L217)+SUM('DOE25'!L232:L235)-F5-G5</f>
        <v>4054656</v>
      </c>
      <c r="E5" s="244"/>
      <c r="F5" s="256">
        <f>SUM('DOE25'!J196:J199)+SUM('DOE25'!J214:J217)+SUM('DOE25'!J232:J235)</f>
        <v>11701</v>
      </c>
      <c r="G5" s="53">
        <f>SUM('DOE25'!K196:K199)+SUM('DOE25'!K214:K217)+SUM('DOE25'!K232:K235)</f>
        <v>112</v>
      </c>
      <c r="H5" s="260"/>
    </row>
    <row r="6" spans="1:9">
      <c r="A6" s="32">
        <v>2100</v>
      </c>
      <c r="B6" t="s">
        <v>801</v>
      </c>
      <c r="C6" s="246">
        <f t="shared" si="0"/>
        <v>343552</v>
      </c>
      <c r="D6" s="20">
        <f>'DOE25'!L201+'DOE25'!L219+'DOE25'!L237-F6-G6</f>
        <v>343350</v>
      </c>
      <c r="E6" s="244"/>
      <c r="F6" s="256">
        <f>'DOE25'!J201+'DOE25'!J219+'DOE25'!J237</f>
        <v>202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127325</v>
      </c>
      <c r="D7" s="20">
        <f>'DOE25'!L202+'DOE25'!L220+'DOE25'!L238-F7-G7</f>
        <v>127325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160582</v>
      </c>
      <c r="D8" s="244"/>
      <c r="E8" s="20">
        <f>'DOE25'!L203+'DOE25'!L221+'DOE25'!L239-F8-G8-D9-D11</f>
        <v>157366</v>
      </c>
      <c r="F8" s="256">
        <f>'DOE25'!J203+'DOE25'!J221+'DOE25'!J239</f>
        <v>0</v>
      </c>
      <c r="G8" s="53">
        <f>'DOE25'!K203+'DOE25'!K221+'DOE25'!K239</f>
        <v>3216</v>
      </c>
      <c r="H8" s="260"/>
    </row>
    <row r="9" spans="1:9">
      <c r="A9" s="32">
        <v>2310</v>
      </c>
      <c r="B9" t="s">
        <v>818</v>
      </c>
      <c r="C9" s="246">
        <f t="shared" si="0"/>
        <v>9653</v>
      </c>
      <c r="D9" s="245">
        <v>9653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9000</v>
      </c>
      <c r="D10" s="244"/>
      <c r="E10" s="245">
        <v>9000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60175</v>
      </c>
      <c r="D11" s="245">
        <v>60175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189145</v>
      </c>
      <c r="D12" s="20">
        <f>'DOE25'!L204+'DOE25'!L222+'DOE25'!L240-F12-G12</f>
        <v>187978</v>
      </c>
      <c r="E12" s="244"/>
      <c r="F12" s="256">
        <f>'DOE25'!J204+'DOE25'!J222+'DOE25'!J240</f>
        <v>0</v>
      </c>
      <c r="G12" s="53">
        <f>'DOE25'!K204+'DOE25'!K222+'DOE25'!K240</f>
        <v>1167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342634</v>
      </c>
      <c r="D14" s="20">
        <f>'DOE25'!L206+'DOE25'!L224+'DOE25'!L242-F14-G14</f>
        <v>315629</v>
      </c>
      <c r="E14" s="244"/>
      <c r="F14" s="256">
        <f>'DOE25'!J206+'DOE25'!J224+'DOE25'!J242</f>
        <v>27005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197361</v>
      </c>
      <c r="D15" s="20">
        <f>'DOE25'!L207+'DOE25'!L225+'DOE25'!L243-F15-G15</f>
        <v>197361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254093</v>
      </c>
      <c r="D25" s="244"/>
      <c r="E25" s="244"/>
      <c r="F25" s="259"/>
      <c r="G25" s="257"/>
      <c r="H25" s="258">
        <f>'DOE25'!L259+'DOE25'!L260+'DOE25'!L340+'DOE25'!L341</f>
        <v>254093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70155</v>
      </c>
      <c r="D29" s="20">
        <f>'DOE25'!L357+'DOE25'!L358+'DOE25'!L359-'DOE25'!I366-F29-G29</f>
        <v>68873</v>
      </c>
      <c r="E29" s="244"/>
      <c r="F29" s="256">
        <f>'DOE25'!J357+'DOE25'!J358+'DOE25'!J359</f>
        <v>1282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120647</v>
      </c>
      <c r="D31" s="20">
        <f>'DOE25'!L289+'DOE25'!L308+'DOE25'!L327+'DOE25'!L332+'DOE25'!L333+'DOE25'!L334-F31-G31</f>
        <v>116386</v>
      </c>
      <c r="E31" s="244"/>
      <c r="F31" s="256">
        <f>'DOE25'!J289+'DOE25'!J308+'DOE25'!J327+'DOE25'!J332+'DOE25'!J333+'DOE25'!J334</f>
        <v>1767</v>
      </c>
      <c r="G31" s="53">
        <f>'DOE25'!K289+'DOE25'!K308+'DOE25'!K327+'DOE25'!K332+'DOE25'!K333+'DOE25'!K334</f>
        <v>2494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5481386</v>
      </c>
      <c r="E33" s="247">
        <f>SUM(E5:E31)</f>
        <v>166366</v>
      </c>
      <c r="F33" s="247">
        <f>SUM(F5:F31)</f>
        <v>41957</v>
      </c>
      <c r="G33" s="247">
        <f>SUM(G5:G31)</f>
        <v>6989</v>
      </c>
      <c r="H33" s="247">
        <f>SUM(H5:H31)</f>
        <v>254093</v>
      </c>
    </row>
    <row r="35" spans="2:8" ht="12" thickBot="1">
      <c r="B35" s="254" t="s">
        <v>847</v>
      </c>
      <c r="D35" s="255">
        <f>E33</f>
        <v>166366</v>
      </c>
      <c r="E35" s="250"/>
    </row>
    <row r="36" spans="2:8" ht="12" thickTop="1">
      <c r="B36" t="s">
        <v>815</v>
      </c>
      <c r="D36" s="20">
        <f>D33</f>
        <v>5481386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Tamworth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250312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177612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25237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20000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33059</v>
      </c>
      <c r="D12" s="95">
        <f>'DOE25'!G13</f>
        <v>14273</v>
      </c>
      <c r="E12" s="95">
        <f>'DOE25'!H13</f>
        <v>49862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4241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312849</v>
      </c>
      <c r="D18" s="41">
        <f>SUM(D8:D17)</f>
        <v>14273</v>
      </c>
      <c r="E18" s="41">
        <f>SUM(E8:E17)</f>
        <v>49862</v>
      </c>
      <c r="F18" s="41">
        <f>SUM(F8:F17)</f>
        <v>0</v>
      </c>
      <c r="G18" s="41">
        <f>SUM(G8:G17)</f>
        <v>197612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20000</v>
      </c>
      <c r="D21" s="95">
        <f>'DOE25'!G22</f>
        <v>14106</v>
      </c>
      <c r="E21" s="95">
        <f>'DOE25'!H22</f>
        <v>11131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65285</v>
      </c>
      <c r="D23" s="95">
        <f>'DOE25'!G24</f>
        <v>167</v>
      </c>
      <c r="E23" s="95">
        <f>'DOE25'!H24</f>
        <v>2954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78326</v>
      </c>
      <c r="D27" s="95">
        <f>'DOE25'!G28</f>
        <v>0</v>
      </c>
      <c r="E27" s="95">
        <f>'DOE25'!H28</f>
        <v>31524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4253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163611</v>
      </c>
      <c r="D31" s="41">
        <f>SUM(D21:D30)</f>
        <v>14273</v>
      </c>
      <c r="E31" s="41">
        <f>SUM(E21:E30)</f>
        <v>49862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197612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59577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89661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149238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197612</v>
      </c>
      <c r="H49" s="124"/>
      <c r="I49" s="124"/>
    </row>
    <row r="50" spans="1:9" ht="12" thickTop="1">
      <c r="A50" s="38" t="s">
        <v>895</v>
      </c>
      <c r="B50" s="2"/>
      <c r="C50" s="41">
        <f>C49+C31</f>
        <v>312849</v>
      </c>
      <c r="D50" s="41">
        <f>D49+D31</f>
        <v>14273</v>
      </c>
      <c r="E50" s="41">
        <f>E49+E31</f>
        <v>49862</v>
      </c>
      <c r="F50" s="41">
        <f>F49+F31</f>
        <v>0</v>
      </c>
      <c r="G50" s="41">
        <f>G49+G31</f>
        <v>197612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4133934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190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144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26324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63244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63434</v>
      </c>
      <c r="D61" s="130">
        <f>SUM(D56:D60)</f>
        <v>26324</v>
      </c>
      <c r="E61" s="130">
        <f>SUM(E56:E60)</f>
        <v>0</v>
      </c>
      <c r="F61" s="130">
        <f>SUM(F56:F60)</f>
        <v>0</v>
      </c>
      <c r="G61" s="130">
        <f>SUM(G56:G60)</f>
        <v>144</v>
      </c>
      <c r="H61"/>
      <c r="I61"/>
    </row>
    <row r="62" spans="1:9" ht="12" thickTop="1">
      <c r="A62" s="29" t="s">
        <v>175</v>
      </c>
      <c r="B62" s="6"/>
      <c r="C62" s="22">
        <f>C55+C61</f>
        <v>4197368</v>
      </c>
      <c r="D62" s="22">
        <f>D55+D61</f>
        <v>26324</v>
      </c>
      <c r="E62" s="22">
        <f>E55+E61</f>
        <v>0</v>
      </c>
      <c r="F62" s="22">
        <f>F55+F61</f>
        <v>0</v>
      </c>
      <c r="G62" s="22">
        <f>G55+G61</f>
        <v>144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644141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795897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558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1440596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49084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64057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3586</v>
      </c>
      <c r="D76" s="95">
        <f>SUM('DOE25'!G130:G134)</f>
        <v>855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116727</v>
      </c>
      <c r="D77" s="130">
        <f>SUM(D71:D76)</f>
        <v>855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1557323</v>
      </c>
      <c r="D80" s="130">
        <f>SUM(D78:D79)+D77+D69</f>
        <v>855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44828</v>
      </c>
      <c r="D87" s="95">
        <f>SUM('DOE25'!G152:G160)</f>
        <v>68928</v>
      </c>
      <c r="E87" s="95">
        <f>SUM('DOE25'!H152:H160)</f>
        <v>120647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44828</v>
      </c>
      <c r="D90" s="131">
        <f>SUM(D84:D89)</f>
        <v>68928</v>
      </c>
      <c r="E90" s="131">
        <f>SUM(E84:E89)</f>
        <v>120647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20458</v>
      </c>
      <c r="E95" s="95">
        <f>'DOE25'!H178</f>
        <v>0</v>
      </c>
      <c r="F95" s="95">
        <f>'DOE25'!I178</f>
        <v>0</v>
      </c>
      <c r="G95" s="95">
        <f>'DOE25'!J178</f>
        <v>20000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25151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25151</v>
      </c>
      <c r="D102" s="86">
        <f>SUM(D92:D101)</f>
        <v>20458</v>
      </c>
      <c r="E102" s="86">
        <f>SUM(E92:E101)</f>
        <v>0</v>
      </c>
      <c r="F102" s="86">
        <f>SUM(F92:F101)</f>
        <v>0</v>
      </c>
      <c r="G102" s="86">
        <f>SUM(G92:G101)</f>
        <v>20000</v>
      </c>
    </row>
    <row r="103" spans="1:7" ht="12.75" thickTop="1" thickBot="1">
      <c r="A103" s="33" t="s">
        <v>765</v>
      </c>
      <c r="C103" s="86">
        <f>C62+C80+C90+C102</f>
        <v>5824670</v>
      </c>
      <c r="D103" s="86">
        <f>D62+D80+D90+D102</f>
        <v>116565</v>
      </c>
      <c r="E103" s="86">
        <f>E62+E80+E90+E102</f>
        <v>120647</v>
      </c>
      <c r="F103" s="86">
        <f>F62+F80+F90+F102</f>
        <v>0</v>
      </c>
      <c r="G103" s="86">
        <f>G62+G80+G102</f>
        <v>20144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3033675</v>
      </c>
      <c r="D108" s="24" t="s">
        <v>289</v>
      </c>
      <c r="E108" s="95">
        <f>('DOE25'!L275)+('DOE25'!L294)+('DOE25'!L313)</f>
        <v>90468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1016368</v>
      </c>
      <c r="D109" s="24" t="s">
        <v>289</v>
      </c>
      <c r="E109" s="95">
        <f>('DOE25'!L276)+('DOE25'!L295)+('DOE25'!L314)</f>
        <v>1977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16426</v>
      </c>
      <c r="D111" s="24" t="s">
        <v>289</v>
      </c>
      <c r="E111" s="95">
        <f>+('DOE25'!L278)+('DOE25'!L297)+('DOE25'!L316)</f>
        <v>10784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4066469</v>
      </c>
      <c r="D114" s="86">
        <f>SUM(D108:D113)</f>
        <v>0</v>
      </c>
      <c r="E114" s="86">
        <f>SUM(E108:E113)</f>
        <v>103229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343552</v>
      </c>
      <c r="D117" s="24" t="s">
        <v>289</v>
      </c>
      <c r="E117" s="95">
        <f>+('DOE25'!L280)+('DOE25'!L299)+('DOE25'!L318)</f>
        <v>591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127325</v>
      </c>
      <c r="D118" s="24" t="s">
        <v>289</v>
      </c>
      <c r="E118" s="95">
        <f>+('DOE25'!L281)+('DOE25'!L300)+('DOE25'!L319)</f>
        <v>14333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230410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189145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2494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342634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197361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116565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1430427</v>
      </c>
      <c r="D127" s="86">
        <f>SUM(D117:D126)</f>
        <v>116565</v>
      </c>
      <c r="E127" s="86">
        <f>SUM(E117:E126)</f>
        <v>17418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164103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89990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25151</v>
      </c>
    </row>
    <row r="134" spans="1:7">
      <c r="A134" t="s">
        <v>233</v>
      </c>
      <c r="B134" s="32" t="s">
        <v>234</v>
      </c>
      <c r="C134" s="95">
        <f>'DOE25'!L262</f>
        <v>20458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20144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-144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294551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25151</v>
      </c>
    </row>
    <row r="144" spans="1:7" ht="12.75" thickTop="1" thickBot="1">
      <c r="A144" s="33" t="s">
        <v>244</v>
      </c>
      <c r="C144" s="86">
        <f>(C114+C127+C143)</f>
        <v>5791447</v>
      </c>
      <c r="D144" s="86">
        <f>(D114+D127+D143)</f>
        <v>116565</v>
      </c>
      <c r="E144" s="86">
        <f>(E114+E127+E143)</f>
        <v>120647</v>
      </c>
      <c r="F144" s="86">
        <f>(F114+F127+F143)</f>
        <v>0</v>
      </c>
      <c r="G144" s="86">
        <f>(G114+G127+G143)</f>
        <v>25151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Tamworth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17370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17370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3124143</v>
      </c>
      <c r="D10" s="182">
        <f>ROUND((C10/$C$28)*100,1)</f>
        <v>53.9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1018345</v>
      </c>
      <c r="D11" s="182">
        <f>ROUND((C11/$C$28)*100,1)</f>
        <v>17.600000000000001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27210</v>
      </c>
      <c r="D13" s="182">
        <f>ROUND((C13/$C$28)*100,1)</f>
        <v>0.5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344143</v>
      </c>
      <c r="D15" s="182">
        <f t="shared" ref="D15:D27" si="0">ROUND((C15/$C$28)*100,1)</f>
        <v>5.9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141658</v>
      </c>
      <c r="D16" s="182">
        <f t="shared" si="0"/>
        <v>2.4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230410</v>
      </c>
      <c r="D17" s="182">
        <f t="shared" si="0"/>
        <v>4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189145</v>
      </c>
      <c r="D18" s="182">
        <f t="shared" si="0"/>
        <v>3.3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2494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342634</v>
      </c>
      <c r="D20" s="182">
        <f t="shared" si="0"/>
        <v>5.9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197361</v>
      </c>
      <c r="D21" s="182">
        <f t="shared" si="0"/>
        <v>3.4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89990</v>
      </c>
      <c r="D25" s="182">
        <f t="shared" si="0"/>
        <v>1.6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90241</v>
      </c>
      <c r="D27" s="182">
        <f t="shared" si="0"/>
        <v>1.6</v>
      </c>
    </row>
    <row r="28" spans="1:4">
      <c r="B28" s="187" t="s">
        <v>723</v>
      </c>
      <c r="C28" s="180">
        <f>SUM(C10:C27)</f>
        <v>5797774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5797774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164103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4133934</v>
      </c>
      <c r="D35" s="182">
        <f t="shared" ref="D35:D40" si="1">ROUND((C35/$C$41)*100,1)</f>
        <v>69</v>
      </c>
    </row>
    <row r="36" spans="1:4">
      <c r="B36" s="185" t="s">
        <v>743</v>
      </c>
      <c r="C36" s="179">
        <f>SUM('DOE25'!F111:J111)-SUM('DOE25'!G96:G109)+('DOE25'!F173+'DOE25'!F174+'DOE25'!I173+'DOE25'!I174)-C35</f>
        <v>63578</v>
      </c>
      <c r="D36" s="182">
        <f t="shared" si="1"/>
        <v>1.1000000000000001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1440596</v>
      </c>
      <c r="D37" s="182">
        <f t="shared" si="1"/>
        <v>24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117582</v>
      </c>
      <c r="D38" s="182">
        <f t="shared" si="1"/>
        <v>2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234403</v>
      </c>
      <c r="D39" s="182">
        <f t="shared" si="1"/>
        <v>3.9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5990093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Tamworth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89:M89"/>
    <mergeCell ref="C80:M80"/>
    <mergeCell ref="C81:M81"/>
    <mergeCell ref="C82:M82"/>
    <mergeCell ref="C75:M75"/>
    <mergeCell ref="C90:M90"/>
    <mergeCell ref="C83:M83"/>
    <mergeCell ref="C84:M84"/>
    <mergeCell ref="C85:M85"/>
    <mergeCell ref="C86:M86"/>
    <mergeCell ref="C87:M87"/>
    <mergeCell ref="C88:M88"/>
    <mergeCell ref="C79:M79"/>
    <mergeCell ref="C68:M68"/>
    <mergeCell ref="C69:M69"/>
    <mergeCell ref="C70:M70"/>
    <mergeCell ref="A72:E72"/>
    <mergeCell ref="C73:M73"/>
    <mergeCell ref="C74:M74"/>
    <mergeCell ref="C29:M29"/>
    <mergeCell ref="C25:M25"/>
    <mergeCell ref="C26:M26"/>
    <mergeCell ref="C27:M27"/>
    <mergeCell ref="C28:M28"/>
    <mergeCell ref="C62:M62"/>
    <mergeCell ref="C63:M63"/>
    <mergeCell ref="C64:M64"/>
    <mergeCell ref="C65:M65"/>
    <mergeCell ref="C66:M66"/>
    <mergeCell ref="C67:M67"/>
    <mergeCell ref="C76:M76"/>
    <mergeCell ref="C77:M77"/>
    <mergeCell ref="C78:M78"/>
    <mergeCell ref="A1:I1"/>
    <mergeCell ref="C3:M3"/>
    <mergeCell ref="C4:M4"/>
    <mergeCell ref="F2:I2"/>
    <mergeCell ref="A2:E2"/>
    <mergeCell ref="C5:M5"/>
    <mergeCell ref="C6:M6"/>
    <mergeCell ref="C7:M7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13:M13"/>
    <mergeCell ref="C34:M34"/>
    <mergeCell ref="C35:M35"/>
    <mergeCell ref="C36:M36"/>
    <mergeCell ref="C14:M14"/>
    <mergeCell ref="C15:M15"/>
    <mergeCell ref="C21:M21"/>
    <mergeCell ref="C52:M52"/>
    <mergeCell ref="C50:M50"/>
    <mergeCell ref="C47:M47"/>
    <mergeCell ref="C48:M48"/>
    <mergeCell ref="C49:M49"/>
    <mergeCell ref="C51:M51"/>
    <mergeCell ref="C20:M20"/>
    <mergeCell ref="C11:M11"/>
    <mergeCell ref="C12:M12"/>
    <mergeCell ref="C22:M22"/>
    <mergeCell ref="C23:M23"/>
    <mergeCell ref="C24:M24"/>
    <mergeCell ref="C8:M8"/>
    <mergeCell ref="BC29:BM29"/>
    <mergeCell ref="BP29:BZ29"/>
    <mergeCell ref="C9:M9"/>
    <mergeCell ref="C10:M10"/>
    <mergeCell ref="C16:M16"/>
    <mergeCell ref="C17:M17"/>
    <mergeCell ref="CP29:CZ29"/>
    <mergeCell ref="C18:M18"/>
    <mergeCell ref="C19:M19"/>
    <mergeCell ref="C39:M39"/>
    <mergeCell ref="C40:M40"/>
    <mergeCell ref="C32:M32"/>
    <mergeCell ref="AC32:AM32"/>
    <mergeCell ref="AP32:AZ32"/>
    <mergeCell ref="P38:Z38"/>
    <mergeCell ref="AC38:AM38"/>
    <mergeCell ref="IP29:IV29"/>
    <mergeCell ref="DC29:DM29"/>
    <mergeCell ref="DP29:DZ29"/>
    <mergeCell ref="EC29:EM29"/>
    <mergeCell ref="EP29:EZ29"/>
    <mergeCell ref="FC29:FM29"/>
    <mergeCell ref="FP29:FZ29"/>
    <mergeCell ref="GP29:GZ29"/>
    <mergeCell ref="HC29:HM29"/>
    <mergeCell ref="HP29:HZ29"/>
    <mergeCell ref="IC29:IM29"/>
    <mergeCell ref="P29:Z29"/>
    <mergeCell ref="AC29:AM29"/>
    <mergeCell ref="AP29:AZ29"/>
    <mergeCell ref="GC29:GM29"/>
    <mergeCell ref="CC29:CM29"/>
    <mergeCell ref="C30:M30"/>
    <mergeCell ref="C31:M31"/>
    <mergeCell ref="P31:Z31"/>
    <mergeCell ref="AC31:AM31"/>
    <mergeCell ref="P30:Z30"/>
    <mergeCell ref="AC30:AM30"/>
    <mergeCell ref="C33:M33"/>
    <mergeCell ref="C37:M37"/>
    <mergeCell ref="C38:M38"/>
    <mergeCell ref="P32:Z32"/>
    <mergeCell ref="IC30:IM30"/>
    <mergeCell ref="IP30:IV30"/>
    <mergeCell ref="BP31:BZ31"/>
    <mergeCell ref="CC31:CM31"/>
    <mergeCell ref="CP31:CZ31"/>
    <mergeCell ref="DC31:DM31"/>
    <mergeCell ref="FC30:FM30"/>
    <mergeCell ref="FP30:FZ30"/>
    <mergeCell ref="AP30:AZ30"/>
    <mergeCell ref="GP30:GZ30"/>
    <mergeCell ref="HC30:HM30"/>
    <mergeCell ref="HP30:HZ30"/>
    <mergeCell ref="AP40:AZ40"/>
    <mergeCell ref="BC31:BM31"/>
    <mergeCell ref="BC32:BM32"/>
    <mergeCell ref="BC39:BM39"/>
    <mergeCell ref="AP38:AZ38"/>
    <mergeCell ref="BC38:BM38"/>
    <mergeCell ref="AP31:AZ31"/>
    <mergeCell ref="EC30:EM30"/>
    <mergeCell ref="EP30:EZ30"/>
    <mergeCell ref="BC30:BM30"/>
    <mergeCell ref="BP30:BZ30"/>
    <mergeCell ref="CC30:CM30"/>
    <mergeCell ref="CP30:CZ30"/>
    <mergeCell ref="DC30:DM30"/>
    <mergeCell ref="DP30:DZ30"/>
    <mergeCell ref="GC30:GM30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GP31:GZ31"/>
    <mergeCell ref="HC31:HM31"/>
    <mergeCell ref="HP31:HZ31"/>
    <mergeCell ref="IC31:IM31"/>
    <mergeCell ref="BP38:BZ38"/>
    <mergeCell ref="CC38:CM38"/>
    <mergeCell ref="CC32:CM32"/>
    <mergeCell ref="CP38:CZ38"/>
    <mergeCell ref="BP32:BZ32"/>
    <mergeCell ref="FP31:FZ31"/>
    <mergeCell ref="GC31:GM31"/>
    <mergeCell ref="HC32:HM32"/>
    <mergeCell ref="DC32:DM32"/>
    <mergeCell ref="DP32:DZ32"/>
    <mergeCell ref="EC32:EM32"/>
    <mergeCell ref="EP32:EZ32"/>
    <mergeCell ref="FP32:FZ32"/>
    <mergeCell ref="GC32:GM32"/>
    <mergeCell ref="GP32:GZ32"/>
    <mergeCell ref="IC38:IM38"/>
    <mergeCell ref="IP38:IV38"/>
    <mergeCell ref="BP39:BZ39"/>
    <mergeCell ref="HC38:HM38"/>
    <mergeCell ref="HP38:HZ38"/>
    <mergeCell ref="HP39:HZ39"/>
    <mergeCell ref="IC39:IM39"/>
    <mergeCell ref="HC39:HM39"/>
    <mergeCell ref="FC38:FM38"/>
    <mergeCell ref="FP38:FZ38"/>
    <mergeCell ref="GC38:GM38"/>
    <mergeCell ref="GP38:GZ38"/>
    <mergeCell ref="CC39:CM39"/>
    <mergeCell ref="CP39:CZ39"/>
    <mergeCell ref="IP39:IV39"/>
    <mergeCell ref="EP39:EZ39"/>
    <mergeCell ref="FC39:FM39"/>
    <mergeCell ref="FP39:FZ39"/>
    <mergeCell ref="GP39:GZ39"/>
    <mergeCell ref="DC39:DM39"/>
    <mergeCell ref="DC38:DM38"/>
    <mergeCell ref="DP38:DZ38"/>
    <mergeCell ref="EC38:EM38"/>
    <mergeCell ref="EP38:EZ38"/>
    <mergeCell ref="P39:Z39"/>
    <mergeCell ref="AC39:AM39"/>
    <mergeCell ref="AP39:AZ39"/>
    <mergeCell ref="P40:Z40"/>
    <mergeCell ref="AC40:AM40"/>
    <mergeCell ref="GC39:GM39"/>
    <mergeCell ref="DP39:DZ39"/>
    <mergeCell ref="EC39:EM39"/>
    <mergeCell ref="BC40:BM40"/>
    <mergeCell ref="BP40:BZ40"/>
    <mergeCell ref="C46:M46"/>
    <mergeCell ref="GC40:GM40"/>
    <mergeCell ref="GP40:GZ40"/>
    <mergeCell ref="HC40:HM40"/>
    <mergeCell ref="HP40:HZ40"/>
    <mergeCell ref="EC40:EM40"/>
    <mergeCell ref="C44:M44"/>
    <mergeCell ref="C41:M41"/>
    <mergeCell ref="C42:M42"/>
    <mergeCell ref="C43:M43"/>
    <mergeCell ref="IC40:IM40"/>
    <mergeCell ref="IP40:IV40"/>
    <mergeCell ref="C45:M45"/>
    <mergeCell ref="FC40:FM40"/>
    <mergeCell ref="FP40:FZ40"/>
    <mergeCell ref="CC40:CM40"/>
    <mergeCell ref="CP40:CZ40"/>
    <mergeCell ref="DC40:DM40"/>
    <mergeCell ref="EP40:EZ40"/>
    <mergeCell ref="DP40:D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2012-10-10T02:41:32Z</cp:lastPrinted>
  <dcterms:created xsi:type="dcterms:W3CDTF">1997-12-04T19:04:30Z</dcterms:created>
  <dcterms:modified xsi:type="dcterms:W3CDTF">2012-11-21T16:13:18Z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