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G168" i="1"/>
  <c r="I139" i="1"/>
  <c r="G139" i="1"/>
  <c r="F139" i="1"/>
  <c r="I662" i="1"/>
  <c r="F31" i="13"/>
  <c r="I433" i="1"/>
  <c r="G433" i="1"/>
  <c r="F544" i="1"/>
  <c r="J641" i="1"/>
  <c r="J648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<sst xmlns="http://schemas.openxmlformats.org/spreadsheetml/2006/main" count="3945" uniqueCount="912">
  <si>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</si>
  <si>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</si>
  <si>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</si>
  <si>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</si>
  <si>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</si>
  <si>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</si>
  <si>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</si>
  <si>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</si>
  <si>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</si>
  <si>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</si>
  <si>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</si>
  <si>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</si>
  <si>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</si>
  <si>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</si>
  <si>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</si>
  <si>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</si>
  <si>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</si>
  <si>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</si>
  <si>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</si>
  <si>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</si>
  <si>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</si>
  <si>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</si>
  <si>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</si>
  <si>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</si>
  <si>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</si>
  <si>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</si>
  <si>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</si>
  <si>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</si>
  <si>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</si>
  <si>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</si>
  <si>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</si>
  <si>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</si>
  <si>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</si>
  <si>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</si>
  <si>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</si>
  <si>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</si>
  <si>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</si>
  <si>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</si>
  <si>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</si>
  <si>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</si>
  <si>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</si>
  <si>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</si>
  <si>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</si>
  <si>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</si>
  <si>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</si>
  <si>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</si>
  <si>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</si>
  <si>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</si>
  <si>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</si>
  <si>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</si>
  <si>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</si>
  <si>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</si>
  <si>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</si>
  <si>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</si>
  <si>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</si>
  <si>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</si>
  <si>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</si>
  <si>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</si>
  <si>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</si>
  <si>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</si>
  <si>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</si>
  <si>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</si>
  <si>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</si>
  <si>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</si>
  <si>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</si>
  <si>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</si>
  <si>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</si>
  <si>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</si>
  <si>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</si>
  <si>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</si>
  <si>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</si>
  <si>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</si>
  <si>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</si>
  <si>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</si>
  <si>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</si>
  <si>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</si>
  <si>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</si>
  <si>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</si>
  <si>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</si>
  <si>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</si>
  <si>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</si>
  <si>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</si>
  <si>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</si>
  <si>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</si>
  <si>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</si>
  <si>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</si>
  <si>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</si>
  <si>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</si>
  <si>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</si>
  <si>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</si>
  <si>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</si>
  <si>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</si>
  <si>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</si>
  <si>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</si>
  <si>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</si>
  <si>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</si>
  <si>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</si>
  <si>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</si>
  <si>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</si>
  <si>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</si>
  <si>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</si>
  <si>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</si>
  <si>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</si>
  <si>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</si>
  <si>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</si>
  <si>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</si>
  <si>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</si>
  <si>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</si>
  <si>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</si>
  <si>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</si>
  <si>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</si>
  <si>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</si>
  <si>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</si>
  <si>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</si>
  <si>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</si>
  <si>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</si>
  <si>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</si>
  <si>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</si>
  <si>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</si>
  <si>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</si>
  <si>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</si>
  <si>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</si>
  <si>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</si>
  <si>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</si>
  <si>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</si>
  <si>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</si>
  <si>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</si>
  <si>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</si>
  <si>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</si>
  <si>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</si>
  <si>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</si>
  <si>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</si>
  <si>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</si>
  <si>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</si>
  <si>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</si>
  <si>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</si>
  <si>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</si>
  <si>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</si>
  <si>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</si>
  <si>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</si>
  <si>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</si>
  <si>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</si>
  <si>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</si>
  <si>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</si>
  <si>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</si>
  <si>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</si>
  <si>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</si>
  <si>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</si>
  <si>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</si>
  <si>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</si>
  <si>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</si>
  <si>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</si>
  <si>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</si>
  <si>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</si>
  <si>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</si>
  <si>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</si>
  <si>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</si>
  <si>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</si>
  <si>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</si>
  <si>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</si>
  <si>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</si>
  <si>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</si>
  <si>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</si>
  <si>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</si>
  <si>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</si>
  <si>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</si>
  <si>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</si>
  <si>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</si>
  <si>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</si>
  <si>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</si>
  <si>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</si>
  <si>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</si>
  <si>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</si>
  <si>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</si>
  <si>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</si>
  <si>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</si>
  <si>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</si>
  <si>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</si>
  <si>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</si>
  <si>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</si>
  <si>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</si>
  <si>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</si>
  <si>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</si>
  <si>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</si>
  <si>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</si>
  <si>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</si>
  <si>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</si>
  <si>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</si>
  <si>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</si>
  <si>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</si>
  <si>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</si>
  <si>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</si>
  <si>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</si>
  <si>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</si>
  <si>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</si>
  <si>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</si>
  <si>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</si>
  <si>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</si>
  <si>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</si>
  <si>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</si>
  <si>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</si>
  <si>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</si>
  <si>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</si>
  <si>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</si>
  <si>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</si>
  <si>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</si>
  <si>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</si>
  <si>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</si>
  <si>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</si>
  <si>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</si>
  <si>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</si>
  <si>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</si>
  <si>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</si>
  <si>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</si>
  <si>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</si>
  <si>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</si>
  <si>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</si>
  <si>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</si>
  <si>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</si>
  <si>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</si>
  <si>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</si>
  <si>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</si>
  <si>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</si>
  <si>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</si>
  <si>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</si>
  <si>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</si>
  <si>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</si>
  <si>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</si>
  <si>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</si>
  <si>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</si>
  <si>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</si>
  <si>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</si>
  <si>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</si>
  <si>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</si>
  <si>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</si>
  <si>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</si>
  <si>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</si>
  <si>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</si>
  <si>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</si>
  <si>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</si>
  <si>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</si>
  <si>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</si>
  <si>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</si>
  <si>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</si>
  <si>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</si>
  <si>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</si>
  <si>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</si>
  <si>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</si>
  <si>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</si>
  <si>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</si>
  <si>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</si>
  <si>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</si>
  <si>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</si>
  <si>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</si>
  <si>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</si>
  <si>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</si>
  <si>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</si>
  <si>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</si>
  <si>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</si>
  <si>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</si>
  <si>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</si>
  <si>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</si>
  <si>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</si>
  <si>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</si>
  <si>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</si>
  <si>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</si>
  <si>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</si>
  <si>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</si>
  <si>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</si>
  <si>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</si>
  <si>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</si>
  <si>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</si>
  <si>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</si>
  <si>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</si>
  <si>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</si>
  <si>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</si>
  <si>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</si>
  <si>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</si>
  <si>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</si>
  <si>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</si>
  <si>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</si>
  <si>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</si>
  <si>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</si>
  <si>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</si>
  <si>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</si>
  <si>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</si>
  <si>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</si>
  <si>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</si>
  <si>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</si>
  <si>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</si>
  <si>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</si>
  <si>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</si>
  <si>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</si>
  <si>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</si>
  <si>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</si>
  <si>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</si>
  <si>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</si>
  <si>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</si>
  <si>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</si>
  <si>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</si>
  <si>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</si>
  <si>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</si>
  <si>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</si>
  <si>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</si>
  <si>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</si>
  <si>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</si>
  <si>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</si>
  <si>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</si>
  <si>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</si>
  <si>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</si>
  <si>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</si>
  <si>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</si>
  <si>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</si>
  <si>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</si>
  <si>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</si>
  <si>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</si>
  <si>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</si>
  <si>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</si>
  <si>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</si>
  <si>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</si>
  <si>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</si>
  <si>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</si>
  <si>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</si>
  <si>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</si>
  <si>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</si>
  <si>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</si>
  <si>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</si>
  <si>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</si>
  <si>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</si>
  <si>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</si>
  <si>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</si>
  <si>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</si>
  <si>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</si>
  <si>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</si>
  <si>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</si>
  <si>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</si>
  <si>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</si>
  <si>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</si>
  <si>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</si>
  <si>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</si>
  <si>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</si>
  <si>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</si>
  <si>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</si>
  <si>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</si>
  <si>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</si>
  <si>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</si>
  <si>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</si>
  <si>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</si>
  <si>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</si>
  <si>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</si>
  <si>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</si>
  <si>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</si>
  <si>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</si>
  <si>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</si>
  <si>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</si>
  <si>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</si>
  <si>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</si>
  <si>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</si>
  <si>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</si>
  <si>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</si>
  <si>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</si>
  <si>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</si>
  <si>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</si>
  <si>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</si>
  <si>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</si>
  <si>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</si>
  <si>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</si>
  <si>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</si>
  <si>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</si>
  <si>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</si>
  <si>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</si>
  <si>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</si>
  <si>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</si>
  <si>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</si>
  <si>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</si>
  <si>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</si>
  <si>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</si>
  <si>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</si>
  <si>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</si>
  <si>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</si>
  <si>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</si>
  <si>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</si>
  <si>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</si>
  <si>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</si>
  <si>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</si>
  <si>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</si>
  <si>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</si>
  <si>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</si>
  <si>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</si>
  <si>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</si>
  <si>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</si>
  <si>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</si>
  <si>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</si>
  <si>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</si>
  <si>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</si>
  <si>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</si>
  <si>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</si>
  <si>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</si>
  <si>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</si>
  <si>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</si>
  <si>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</si>
  <si>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</si>
  <si>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</si>
  <si>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</si>
  <si>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</si>
  <si>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</si>
  <si>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</si>
  <si>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</si>
  <si>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</si>
  <si>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</si>
  <si>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</si>
  <si>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</si>
  <si>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</si>
  <si>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</si>
  <si>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</si>
  <si>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</si>
  <si>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</si>
  <si>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</si>
  <si>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</si>
  <si>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</si>
  <si>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</si>
  <si>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</si>
  <si>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</si>
  <si>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</si>
  <si>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</si>
  <si>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</si>
  <si>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</si>
  <si>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</si>
  <si>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</si>
  <si>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</si>
  <si>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</si>
  <si>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</si>
  <si>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</si>
  <si>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</si>
  <si>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</si>
  <si>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</si>
  <si>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</si>
  <si>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</si>
  <si>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</si>
  <si>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</si>
  <si>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</si>
  <si>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</si>
  <si>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</si>
  <si>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</si>
  <si>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</si>
  <si>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</si>
  <si>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</si>
  <si>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</si>
  <si>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</si>
  <si>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</si>
  <si>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</si>
  <si>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</si>
  <si>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</si>
  <si>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</si>
  <si>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</si>
  <si>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</si>
  <si>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</si>
  <si>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</si>
  <si>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</si>
  <si>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</si>
  <si>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</si>
  <si>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</si>
  <si>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</si>
  <si>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</si>
  <si>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</si>
  <si>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</si>
  <si>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</si>
  <si>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</si>
  <si>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</si>
  <si>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</si>
  <si>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</si>
  <si>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</si>
  <si>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</si>
  <si>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</si>
  <si>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</si>
  <si>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</si>
  <si>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</si>
  <si>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</si>
  <si>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</si>
  <si>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</si>
  <si>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</si>
  <si>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</si>
  <si>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</si>
  <si>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</si>
  <si>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</si>
  <si>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</si>
  <si>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</si>
  <si>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</si>
  <si>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</si>
  <si>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</si>
  <si>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</si>
  <si>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</si>
  <si>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</si>
  <si>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</si>
  <si>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</si>
  <si>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</si>
  <si>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</si>
  <si>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</si>
  <si>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</si>
  <si>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</si>
  <si>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</si>
  <si>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</si>
  <si>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</si>
  <si>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</si>
  <si>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</si>
  <si>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</si>
  <si>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</si>
  <si>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</si>
  <si>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</si>
  <si>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</si>
  <si>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</si>
  <si>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</si>
  <si>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</si>
  <si>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</si>
  <si>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</si>
  <si>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</si>
  <si>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</si>
  <si>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</si>
  <si>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</si>
  <si>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</si>
  <si>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</si>
  <si>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</si>
  <si>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</si>
  <si>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</si>
  <si>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</si>
  <si>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</si>
  <si>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</si>
  <si>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</si>
  <si>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</si>
  <si>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</si>
  <si>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</si>
  <si>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</si>
  <si>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</si>
  <si>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</si>
  <si>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</si>
  <si>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</si>
  <si>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</si>
  <si>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</si>
  <si>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</si>
  <si>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</si>
  <si>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</si>
  <si>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</si>
  <si>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</si>
  <si>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</si>
  <si>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</si>
  <si>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</si>
  <si>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</si>
  <si>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</si>
  <si>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</si>
  <si>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</si>
  <si>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</si>
  <si>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</si>
  <si>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</si>
  <si>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</si>
  <si>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</si>
  <si>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</si>
  <si>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</si>
  <si>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</si>
  <si>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</si>
  <si>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</si>
  <si>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</si>
  <si>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</si>
  <si>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</si>
  <si>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</si>
  <si>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</si>
  <si>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</si>
  <si>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</si>
  <si>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</si>
  <si>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</si>
  <si>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</si>
  <si>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</si>
  <si>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</si>
  <si>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</si>
  <si>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</si>
  <si>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</si>
  <si>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</si>
  <si>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</si>
  <si>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</si>
  <si>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</si>
  <si>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</si>
  <si>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</si>
  <si>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</si>
  <si>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</si>
  <si>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</si>
  <si>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</si>
  <si>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</si>
  <si>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</si>
  <si>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</si>
  <si>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</si>
  <si>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</si>
  <si>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</si>
  <si>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</si>
  <si>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</si>
  <si>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</si>
  <si>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</si>
  <si>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</si>
  <si>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</si>
  <si>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</si>
  <si>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</si>
  <si>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</si>
  <si>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</si>
  <si>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</si>
  <si>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</si>
  <si>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</si>
  <si>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</si>
  <si>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</si>
  <si>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</si>
  <si>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</si>
  <si>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</si>
  <si>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</si>
  <si>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</si>
  <si>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</si>
  <si>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</si>
  <si>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</si>
  <si>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</si>
  <si>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</si>
  <si>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</si>
  <si>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</si>
  <si>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</si>
  <si>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</si>
  <si>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</si>
  <si>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</si>
  <si>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</si>
  <si>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</si>
  <si>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</si>
  <si>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</si>
  <si>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</si>
  <si>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</si>
  <si>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</si>
  <si>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</si>
  <si>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</si>
  <si>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</si>
  <si>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</si>
  <si>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</si>
  <si>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</si>
  <si>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</si>
  <si>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</si>
  <si>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</si>
  <si>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</si>
  <si>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</si>
  <si>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</si>
  <si>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</si>
  <si>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</si>
  <si>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</si>
  <si>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</si>
  <si>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</si>
  <si>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</si>
  <si>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</si>
  <si>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</si>
  <si>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</si>
  <si>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</si>
  <si>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</si>
  <si>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</si>
  <si>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</si>
  <si>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</si>
  <si>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</si>
  <si>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</si>
  <si>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</si>
  <si>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</si>
  <si>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</si>
  <si>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</si>
  <si>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</si>
  <si>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</si>
  <si>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</si>
  <si>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</si>
  <si>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</si>
  <si>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</si>
  <si>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</si>
  <si>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</si>
  <si>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</si>
  <si>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</si>
  <si>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</si>
  <si>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</si>
  <si>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</si>
  <si>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</si>
  <si>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</si>
  <si>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</si>
  <si>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</si>
  <si>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</si>
  <si>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</si>
  <si>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</si>
  <si>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</si>
  <si>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</si>
  <si>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</si>
  <si>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</si>
  <si>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</si>
  <si>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</si>
  <si>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</si>
  <si>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</si>
  <si>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</si>
  <si>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</si>
  <si>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</si>
  <si>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</si>
  <si>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</si>
  <si>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</si>
  <si>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</si>
  <si>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</si>
  <si>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</si>
  <si>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</si>
  <si>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</si>
  <si>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</si>
  <si>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</si>
  <si>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</si>
  <si>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</si>
  <si>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</si>
  <si>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</si>
  <si>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</si>
  <si>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</si>
  <si>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</si>
  <si>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</si>
  <si>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</si>
  <si>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</si>
  <si>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</si>
  <si>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</si>
  <si>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</si>
  <si>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</si>
  <si>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</si>
  <si>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</si>
  <si>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</si>
  <si>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</si>
  <si>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</si>
  <si>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</si>
  <si>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</si>
  <si>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</si>
  <si>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</si>
  <si>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</si>
  <si>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</si>
  <si>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</si>
  <si>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</si>
  <si>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</si>
  <si>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</si>
  <si>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</si>
  <si>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</si>
  <si>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</si>
  <si>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</si>
  <si>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</si>
  <si>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</si>
  <si>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</si>
  <si>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</si>
  <si>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</si>
  <si>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</si>
  <si>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</si>
  <si>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</si>
  <si>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</si>
  <si>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</si>
  <si>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</si>
  <si>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</si>
  <si>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</si>
  <si>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</si>
  <si>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</si>
  <si>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</si>
  <si>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</si>
  <si>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</si>
  <si>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</si>
  <si>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</si>
  <si>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</si>
  <si>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</si>
  <si>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</si>
  <si>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</si>
  <si>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</si>
  <si>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</si>
  <si>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</si>
  <si>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</si>
  <si>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</si>
  <si>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</si>
  <si>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</si>
  <si>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</si>
  <si>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</si>
  <si>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</si>
  <si>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</si>
  <si>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</si>
  <si>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</si>
  <si>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</si>
  <si>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</si>
  <si>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</si>
  <si>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</si>
  <si>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</si>
  <si>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</si>
  <si>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</si>
  <si>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</si>
  <si>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</si>
  <si>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</si>
  <si>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</si>
  <si>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</si>
  <si>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</si>
  <si>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</si>
  <si>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</si>
  <si>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</si>
  <si>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</si>
  <si>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</si>
  <si>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</si>
  <si>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</si>
  <si>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</si>
  <si>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</si>
  <si>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</si>
  <si>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</si>
  <si>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</si>
  <si>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</si>
  <si>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</si>
  <si>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</si>
  <si>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</si>
  <si>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</si>
  <si>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</si>
  <si>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</si>
  <si>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</si>
  <si>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</si>
  <si>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</si>
  <si>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</si>
  <si>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</si>
  <si>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</si>
  <si>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</si>
  <si>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</si>
  <si>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</si>
  <si>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</si>
  <si>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</si>
  <si>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</si>
  <si>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</si>
  <si>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</si>
  <si>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</si>
  <si>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</si>
  <si>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</si>
  <si>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</si>
  <si>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</si>
  <si>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</si>
  <si>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</si>
  <si>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</si>
  <si>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</si>
  <si>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</si>
  <si>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</si>
  <si>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</si>
  <si>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</si>
  <si>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</si>
  <si>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</si>
  <si>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</si>
  <si>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</si>
  <si>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</si>
  <si>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</si>
  <si>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</si>
  <si>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</si>
  <si>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</si>
  <si>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</si>
  <si>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</si>
  <si>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</si>
  <si>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</si>
  <si>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</si>
  <si>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</si>
  <si>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</si>
  <si>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</si>
  <si>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</si>
  <si>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</si>
  <si>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</si>
  <si>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</si>
  <si>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</si>
  <si>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</si>
  <si>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</si>
  <si>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</si>
  <si>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</si>
  <si>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</si>
  <si>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</si>
  <si>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</si>
  <si>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</si>
  <si>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</si>
  <si>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</si>
  <si>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</si>
  <si>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</si>
  <si>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</si>
  <si>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</si>
  <si>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</si>
  <si>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</si>
  <si>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</si>
  <si>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</si>
  <si>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</si>
  <si>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</si>
  <si>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</si>
  <si>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</si>
  <si>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</si>
  <si>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</si>
  <si>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</si>
  <si>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</si>
  <si>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</si>
  <si>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</si>
  <si>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</si>
  <si>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</si>
  <si>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</si>
  <si>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</si>
  <si>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</si>
  <si>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</si>
  <si>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</si>
  <si>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</si>
  <si>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</si>
  <si>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</si>
  <si>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</si>
  <si>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</si>
  <si>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</si>
  <si>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</si>
  <si>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</si>
  <si>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</si>
  <si>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</si>
  <si>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</si>
  <si>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</si>
  <si>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</si>
  <si>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</si>
  <si>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</si>
  <si>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</si>
  <si>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</si>
  <si>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</si>
  <si>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</si>
  <si>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</si>
  <si>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</si>
  <si>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THORNTON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</si>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</sst>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531</v>
      </c>
      <c r="C2" s="21">
        <v>531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152538.51999999999</v>
      </c>
      <c r="G9" s="18">
        <v>-4878.3900000000003</v>
      </c>
      <c r="H9" s="18">
        <v>1006.33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1139.56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22623.22</v>
      </c>
      <c r="G13" s="18">
        <v>5708.11</v>
      </c>
      <c r="H13" s="18">
        <v>2750.47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175161.74</v>
      </c>
      <c r="G19" s="41">
        <f>SUM(G9:G18)</f>
        <v>829.71999999999935</v>
      </c>
      <c r="H19" s="41">
        <f>SUM(H9:H18)</f>
        <v>3756.7999999999997</v>
      </c>
      <c r="I19" s="41">
        <f>SUM(I9:I18)</f>
        <v>0</v>
      </c>
      <c r="J19" s="41">
        <f>SUM(J9:J18)</f>
        <v>1139.56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36404.559999999998</v>
      </c>
      <c r="G24" s="18">
        <v>124.49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705.23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36404.559999999998</v>
      </c>
      <c r="G32" s="41">
        <f>SUM(G22:G31)</f>
        <v>829.72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3756.8</v>
      </c>
      <c r="I47" s="18"/>
      <c r="J47" s="13">
        <f>SUM(I458)</f>
        <v>1139.56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87264.57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51492.61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138757.18</v>
      </c>
      <c r="G50" s="41">
        <f>SUM(G35:G49)</f>
        <v>0</v>
      </c>
      <c r="H50" s="41">
        <f>SUM(H35:H49)</f>
        <v>3756.8</v>
      </c>
      <c r="I50" s="41">
        <f>SUM(I35:I49)</f>
        <v>0</v>
      </c>
      <c r="J50" s="41">
        <f>SUM(J35:J49)</f>
        <v>1139.56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175161.74</v>
      </c>
      <c r="G51" s="41">
        <f>G50+G32</f>
        <v>829.72</v>
      </c>
      <c r="H51" s="41">
        <f>H50+H32</f>
        <v>3756.8</v>
      </c>
      <c r="I51" s="41">
        <f>I50+I32</f>
        <v>0</v>
      </c>
      <c r="J51" s="41">
        <f>J50+J32</f>
        <v>1139.56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2613250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2613250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119.56</v>
      </c>
      <c r="G95" s="18"/>
      <c r="H95" s="18"/>
      <c r="I95" s="18"/>
      <c r="J95" s="18">
        <v>5.13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29335.5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1668.07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1887.6299999999999</v>
      </c>
      <c r="G110" s="41">
        <f>SUM(G95:G109)</f>
        <v>29335.5</v>
      </c>
      <c r="H110" s="41">
        <f>SUM(H95:H109)</f>
        <v>0</v>
      </c>
      <c r="I110" s="41">
        <f>SUM(I95:I109)</f>
        <v>0</v>
      </c>
      <c r="J110" s="41">
        <f>SUM(J95:J109)</f>
        <v>5.13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2615137.63</v>
      </c>
      <c r="G111" s="41">
        <f>G59+G110</f>
        <v>29335.5</v>
      </c>
      <c r="H111" s="41">
        <f>H59+H78+H93+H110</f>
        <v>0</v>
      </c>
      <c r="I111" s="41">
        <f>I59+I110</f>
        <v>0</v>
      </c>
      <c r="J111" s="41">
        <f>J59+J110</f>
        <v>5.13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355729.78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607673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308.22000000000003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963711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91020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771.86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91020</v>
      </c>
      <c r="G135" s="41">
        <f>SUM(G122:G134)</f>
        <v>771.86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1054731</v>
      </c>
      <c r="G139" s="41">
        <f>G120+SUM(G135:G136)</f>
        <v>771.86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24287.82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32516.86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59590.84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11605.83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59590.84</v>
      </c>
      <c r="G161" s="41">
        <f>SUM(G149:G160)</f>
        <v>32516.86</v>
      </c>
      <c r="H161" s="41">
        <f>SUM(H149:H160)</f>
        <v>35893.65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11436.14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71026.98</v>
      </c>
      <c r="G168" s="41">
        <f>G146+G161+SUM(G162:G167)</f>
        <v>32516.86</v>
      </c>
      <c r="H168" s="41">
        <f>H146+H161+SUM(H162:H167)</f>
        <v>35893.65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23812.74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23812.74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23812.74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3740895.61</v>
      </c>
      <c r="G192" s="47">
        <f>G111+G139+G168+G191</f>
        <v>86436.96</v>
      </c>
      <c r="H192" s="47">
        <f>H111+H139+H168+H191</f>
        <v>35893.65</v>
      </c>
      <c r="I192" s="47">
        <f>I111+I139+I168+I191</f>
        <v>0</v>
      </c>
      <c r="J192" s="47">
        <f>J111+J139+J191</f>
        <v>5.13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966344.52</v>
      </c>
      <c r="G196" s="18">
        <v>453782.48</v>
      </c>
      <c r="H196" s="18">
        <v>14687.94</v>
      </c>
      <c r="I196" s="18">
        <v>61033.1</v>
      </c>
      <c r="J196" s="18">
        <v>18578.810000000001</v>
      </c>
      <c r="K196" s="18">
        <v>1297.42</v>
      </c>
      <c r="L196" s="19">
        <f>SUM(F196:K196)</f>
        <v>1515724.27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359013.16</v>
      </c>
      <c r="G197" s="18">
        <v>139037.60999999999</v>
      </c>
      <c r="H197" s="18">
        <v>149067.18</v>
      </c>
      <c r="I197" s="18">
        <v>2151.12</v>
      </c>
      <c r="J197" s="18">
        <v>687.9</v>
      </c>
      <c r="K197" s="18"/>
      <c r="L197" s="19">
        <f>SUM(F197:K197)</f>
        <v>649956.97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33732.01</v>
      </c>
      <c r="G199" s="18">
        <v>6359.25</v>
      </c>
      <c r="H199" s="18">
        <v>4150.71</v>
      </c>
      <c r="I199" s="18">
        <v>3665.39</v>
      </c>
      <c r="J199" s="18"/>
      <c r="K199" s="18">
        <v>411.5</v>
      </c>
      <c r="L199" s="19">
        <f>SUM(F199:K199)</f>
        <v>48318.86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53149.760000000002</v>
      </c>
      <c r="G201" s="18">
        <v>30241.040000000001</v>
      </c>
      <c r="H201" s="18">
        <v>177133.14</v>
      </c>
      <c r="I201" s="18">
        <v>1701.74</v>
      </c>
      <c r="J201" s="18">
        <v>348.69</v>
      </c>
      <c r="K201" s="18"/>
      <c r="L201" s="19">
        <f t="shared" ref="L201:L207" si="0">SUM(F201:K201)</f>
        <v>262574.37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27939.73</v>
      </c>
      <c r="H202" s="18">
        <v>30286.67</v>
      </c>
      <c r="I202" s="18">
        <v>3918.32</v>
      </c>
      <c r="J202" s="18"/>
      <c r="K202" s="18"/>
      <c r="L202" s="19">
        <f t="shared" si="0"/>
        <v>62144.719999999994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5956.5</v>
      </c>
      <c r="G203" s="18">
        <v>441.25</v>
      </c>
      <c r="H203" s="18">
        <v>153517.14000000001</v>
      </c>
      <c r="I203" s="18">
        <v>211.08</v>
      </c>
      <c r="J203" s="18"/>
      <c r="K203" s="18">
        <v>3031.87</v>
      </c>
      <c r="L203" s="19">
        <f t="shared" si="0"/>
        <v>163157.84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147453.66</v>
      </c>
      <c r="G204" s="18">
        <v>88636.24</v>
      </c>
      <c r="H204" s="18">
        <v>5586.07</v>
      </c>
      <c r="I204" s="18">
        <v>607.01</v>
      </c>
      <c r="J204" s="18"/>
      <c r="K204" s="18">
        <v>361.56</v>
      </c>
      <c r="L204" s="19">
        <f t="shared" si="0"/>
        <v>242644.54000000004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270</v>
      </c>
      <c r="I205" s="18"/>
      <c r="J205" s="18"/>
      <c r="K205" s="18"/>
      <c r="L205" s="19">
        <f t="shared" si="0"/>
        <v>270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107779.3</v>
      </c>
      <c r="G206" s="18">
        <v>33595.769999999997</v>
      </c>
      <c r="H206" s="18">
        <v>65631.55</v>
      </c>
      <c r="I206" s="18">
        <v>87308.81</v>
      </c>
      <c r="J206" s="18">
        <v>8305.24</v>
      </c>
      <c r="K206" s="18"/>
      <c r="L206" s="19">
        <f t="shared" si="0"/>
        <v>302620.67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117441.92</v>
      </c>
      <c r="I207" s="18"/>
      <c r="J207" s="18"/>
      <c r="K207" s="18"/>
      <c r="L207" s="19">
        <f t="shared" si="0"/>
        <v>117441.92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1673428.91</v>
      </c>
      <c r="G210" s="41">
        <f t="shared" si="1"/>
        <v>780033.37</v>
      </c>
      <c r="H210" s="41">
        <f t="shared" si="1"/>
        <v>717772.32000000007</v>
      </c>
      <c r="I210" s="41">
        <f t="shared" si="1"/>
        <v>160596.57</v>
      </c>
      <c r="J210" s="41">
        <f t="shared" si="1"/>
        <v>27920.639999999999</v>
      </c>
      <c r="K210" s="41">
        <f t="shared" si="1"/>
        <v>5102.3500000000004</v>
      </c>
      <c r="L210" s="41">
        <f t="shared" si="1"/>
        <v>3364854.16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9655</v>
      </c>
      <c r="I254" s="18"/>
      <c r="J254" s="18"/>
      <c r="K254" s="18"/>
      <c r="L254" s="19">
        <f t="shared" si="6"/>
        <v>9655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9655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9655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1673428.91</v>
      </c>
      <c r="G256" s="41">
        <f t="shared" si="8"/>
        <v>780033.37</v>
      </c>
      <c r="H256" s="41">
        <f t="shared" si="8"/>
        <v>727427.32000000007</v>
      </c>
      <c r="I256" s="41">
        <f t="shared" si="8"/>
        <v>160596.57</v>
      </c>
      <c r="J256" s="41">
        <f t="shared" si="8"/>
        <v>27920.639999999999</v>
      </c>
      <c r="K256" s="41">
        <f t="shared" si="8"/>
        <v>5102.3500000000004</v>
      </c>
      <c r="L256" s="41">
        <f t="shared" si="8"/>
        <v>3374509.16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277400</v>
      </c>
      <c r="L259" s="19">
        <f>SUM(F259:K259)</f>
        <v>277400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30255.09</v>
      </c>
      <c r="L260" s="19">
        <f>SUM(F260:K260)</f>
        <v>30255.09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23812.74</v>
      </c>
      <c r="L262" s="19">
        <f>SUM(F262:K262)</f>
        <v>23812.74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331467.83</v>
      </c>
      <c r="L269" s="41">
        <f t="shared" si="9"/>
        <v>331467.83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1673428.91</v>
      </c>
      <c r="G270" s="42">
        <f t="shared" si="11"/>
        <v>780033.37</v>
      </c>
      <c r="H270" s="42">
        <f t="shared" si="11"/>
        <v>727427.32000000007</v>
      </c>
      <c r="I270" s="42">
        <f t="shared" si="11"/>
        <v>160596.57</v>
      </c>
      <c r="J270" s="42">
        <f t="shared" si="11"/>
        <v>27920.639999999999</v>
      </c>
      <c r="K270" s="42">
        <f t="shared" si="11"/>
        <v>336570.18</v>
      </c>
      <c r="L270" s="42">
        <f t="shared" si="11"/>
        <v>3705976.99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4750</v>
      </c>
      <c r="G275" s="18">
        <v>831.16</v>
      </c>
      <c r="H275" s="18"/>
      <c r="I275" s="18">
        <v>1308.27</v>
      </c>
      <c r="J275" s="18">
        <v>4008.99</v>
      </c>
      <c r="K275" s="18"/>
      <c r="L275" s="19">
        <f>SUM(F275:K275)</f>
        <v>10898.42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23811.78</v>
      </c>
      <c r="G276" s="18"/>
      <c r="H276" s="18"/>
      <c r="I276" s="18">
        <v>851.41</v>
      </c>
      <c r="J276" s="18"/>
      <c r="K276" s="18"/>
      <c r="L276" s="19">
        <f>SUM(F276:K276)</f>
        <v>24663.19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>
        <v>106.73</v>
      </c>
      <c r="J281" s="18"/>
      <c r="K281" s="18"/>
      <c r="L281" s="19">
        <f t="shared" si="12"/>
        <v>106.73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225.31</v>
      </c>
      <c r="L287" s="19">
        <f>SUM(F287:K287)</f>
        <v>225.31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28561.78</v>
      </c>
      <c r="G289" s="42">
        <f t="shared" si="13"/>
        <v>831.16</v>
      </c>
      <c r="H289" s="42">
        <f t="shared" si="13"/>
        <v>0</v>
      </c>
      <c r="I289" s="42">
        <f t="shared" si="13"/>
        <v>2266.41</v>
      </c>
      <c r="J289" s="42">
        <f t="shared" si="13"/>
        <v>4008.99</v>
      </c>
      <c r="K289" s="42">
        <f t="shared" si="13"/>
        <v>225.31</v>
      </c>
      <c r="L289" s="41">
        <f t="shared" si="13"/>
        <v>35893.65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28561.78</v>
      </c>
      <c r="G337" s="41">
        <f t="shared" si="20"/>
        <v>831.16</v>
      </c>
      <c r="H337" s="41">
        <f t="shared" si="20"/>
        <v>0</v>
      </c>
      <c r="I337" s="41">
        <f t="shared" si="20"/>
        <v>2266.41</v>
      </c>
      <c r="J337" s="41">
        <f t="shared" si="20"/>
        <v>4008.99</v>
      </c>
      <c r="K337" s="41">
        <f t="shared" si="20"/>
        <v>225.31</v>
      </c>
      <c r="L337" s="41">
        <f t="shared" si="20"/>
        <v>35893.65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28561.78</v>
      </c>
      <c r="G351" s="41">
        <f>G337</f>
        <v>831.16</v>
      </c>
      <c r="H351" s="41">
        <f>H337</f>
        <v>0</v>
      </c>
      <c r="I351" s="41">
        <f>I337</f>
        <v>2266.41</v>
      </c>
      <c r="J351" s="41">
        <f>J337</f>
        <v>4008.99</v>
      </c>
      <c r="K351" s="47">
        <f>K337+K350</f>
        <v>225.31</v>
      </c>
      <c r="L351" s="41">
        <f>L337+L350</f>
        <v>35893.65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40724.199999999997</v>
      </c>
      <c r="G357" s="18">
        <v>7553.84</v>
      </c>
      <c r="H357" s="18">
        <v>1176.0999999999999</v>
      </c>
      <c r="I357" s="18">
        <v>36718.57</v>
      </c>
      <c r="J357" s="18"/>
      <c r="K357" s="18">
        <v>264.25</v>
      </c>
      <c r="L357" s="13">
        <f>SUM(F357:K357)</f>
        <v>86436.959999999992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40724.199999999997</v>
      </c>
      <c r="G361" s="47">
        <f t="shared" si="22"/>
        <v>7553.84</v>
      </c>
      <c r="H361" s="47">
        <f t="shared" si="22"/>
        <v>1176.0999999999999</v>
      </c>
      <c r="I361" s="47">
        <f t="shared" si="22"/>
        <v>36718.57</v>
      </c>
      <c r="J361" s="47">
        <f t="shared" si="22"/>
        <v>0</v>
      </c>
      <c r="K361" s="47">
        <f t="shared" si="22"/>
        <v>264.25</v>
      </c>
      <c r="L361" s="47">
        <f t="shared" si="22"/>
        <v>86436.959999999992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35382.54</v>
      </c>
      <c r="G366" s="18"/>
      <c r="H366" s="18"/>
      <c r="I366" s="56">
        <f>SUM(F366:H366)</f>
        <v>35382.54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1336.03</v>
      </c>
      <c r="G367" s="63"/>
      <c r="H367" s="63"/>
      <c r="I367" s="56">
        <f>SUM(F367:H367)</f>
        <v>1336.03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36718.57</v>
      </c>
      <c r="G368" s="47">
        <f>SUM(G366:G367)</f>
        <v>0</v>
      </c>
      <c r="H368" s="47">
        <f>SUM(H366:H367)</f>
        <v>0</v>
      </c>
      <c r="I368" s="47">
        <f>SUM(I366:I367)</f>
        <v>36718.57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5.13</v>
      </c>
      <c r="I388" s="18"/>
      <c r="J388" s="24" t="s">
        <v>289</v>
      </c>
      <c r="K388" s="24" t="s">
        <v>289</v>
      </c>
      <c r="L388" s="56">
        <f t="shared" si="25"/>
        <v>5.13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5.13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5.13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5.13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5.13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1139.56</v>
      </c>
      <c r="G439" s="18"/>
      <c r="H439" s="18"/>
      <c r="I439" s="56">
        <f t="shared" si="33"/>
        <v>1139.56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1139.56</v>
      </c>
      <c r="G445" s="13">
        <f>SUM(G438:G444)</f>
        <v>0</v>
      </c>
      <c r="H445" s="13">
        <f>SUM(H438:H444)</f>
        <v>0</v>
      </c>
      <c r="I445" s="13">
        <f>SUM(I438:I444)</f>
        <v>1139.56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1139.56</v>
      </c>
      <c r="G458" s="18"/>
      <c r="H458" s="18"/>
      <c r="I458" s="56">
        <f t="shared" si="34"/>
        <v>1139.56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1139.56</v>
      </c>
      <c r="G459" s="83">
        <f>SUM(G453:G458)</f>
        <v>0</v>
      </c>
      <c r="H459" s="83">
        <f>SUM(H453:H458)</f>
        <v>0</v>
      </c>
      <c r="I459" s="83">
        <f>SUM(I453:I458)</f>
        <v>1139.56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1139.56</v>
      </c>
      <c r="G460" s="42">
        <f>G451+G459</f>
        <v>0</v>
      </c>
      <c r="H460" s="42">
        <f>H451+H459</f>
        <v>0</v>
      </c>
      <c r="I460" s="42">
        <f>I451+I459</f>
        <v>1139.56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103838.56</v>
      </c>
      <c r="G464" s="18">
        <v>0</v>
      </c>
      <c r="H464" s="18">
        <v>3756.8</v>
      </c>
      <c r="I464" s="18">
        <v>0</v>
      </c>
      <c r="J464" s="18">
        <v>1134.43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3740895.61</v>
      </c>
      <c r="G467" s="18">
        <v>86436.96</v>
      </c>
      <c r="H467" s="18">
        <v>35893.65</v>
      </c>
      <c r="I467" s="18"/>
      <c r="J467" s="18">
        <v>5.13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3740895.61</v>
      </c>
      <c r="G469" s="53">
        <f>SUM(G467:G468)</f>
        <v>86436.96</v>
      </c>
      <c r="H469" s="53">
        <f>SUM(H467:H468)</f>
        <v>35893.65</v>
      </c>
      <c r="I469" s="53">
        <f>SUM(I467:I468)</f>
        <v>0</v>
      </c>
      <c r="J469" s="53">
        <f>SUM(J467:J468)</f>
        <v>5.13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3705976.99</v>
      </c>
      <c r="G471" s="18">
        <v>86436.96</v>
      </c>
      <c r="H471" s="18">
        <v>35893.65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3705976.99</v>
      </c>
      <c r="G473" s="53">
        <f>SUM(G471:G472)</f>
        <v>86436.96</v>
      </c>
      <c r="H473" s="53">
        <f>SUM(H471:H472)</f>
        <v>35893.65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138757.1799999997</v>
      </c>
      <c r="G475" s="53">
        <f>(G464+G469)- G473</f>
        <v>0</v>
      </c>
      <c r="H475" s="53">
        <f>(H464+H469)- H473</f>
        <v>3756.8000000000029</v>
      </c>
      <c r="I475" s="53">
        <f>(I464+I469)- I473</f>
        <v>0</v>
      </c>
      <c r="J475" s="53">
        <f>(J464+J469)- J473</f>
        <v>1139.5600000000002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1387000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1387000</v>
      </c>
      <c r="G494" s="18"/>
      <c r="H494" s="18"/>
      <c r="I494" s="18"/>
      <c r="J494" s="18"/>
      <c r="K494" s="53">
        <f>SUM(F494:J494)</f>
        <v>1387000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277400</v>
      </c>
      <c r="G496" s="18"/>
      <c r="H496" s="18"/>
      <c r="I496" s="18"/>
      <c r="J496" s="18"/>
      <c r="K496" s="53">
        <f t="shared" si="35"/>
        <v>277400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1109600</v>
      </c>
      <c r="G497" s="205"/>
      <c r="H497" s="205"/>
      <c r="I497" s="205"/>
      <c r="J497" s="205"/>
      <c r="K497" s="206">
        <f t="shared" si="35"/>
        <v>1109600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54980.91</v>
      </c>
      <c r="G498" s="18"/>
      <c r="H498" s="18"/>
      <c r="I498" s="18"/>
      <c r="J498" s="18"/>
      <c r="K498" s="53">
        <f t="shared" si="35"/>
        <v>54980.91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1164580.9099999999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1164580.9099999999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277400</v>
      </c>
      <c r="G500" s="205"/>
      <c r="H500" s="205"/>
      <c r="I500" s="205"/>
      <c r="J500" s="205"/>
      <c r="K500" s="206">
        <f t="shared" si="35"/>
        <v>277400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23671</v>
      </c>
      <c r="G501" s="18"/>
      <c r="H501" s="18"/>
      <c r="I501" s="18"/>
      <c r="J501" s="18"/>
      <c r="K501" s="53">
        <f t="shared" si="35"/>
        <v>23671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301071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301071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372789.94</v>
      </c>
      <c r="G520" s="18">
        <v>139037.66</v>
      </c>
      <c r="H520" s="18">
        <v>146732.13</v>
      </c>
      <c r="I520" s="18">
        <v>1703.98</v>
      </c>
      <c r="J520" s="18">
        <v>687.9</v>
      </c>
      <c r="K520" s="18"/>
      <c r="L520" s="88">
        <f>SUM(F520:K520)</f>
        <v>660951.61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372789.94</v>
      </c>
      <c r="G523" s="108">
        <f t="shared" ref="G523:L523" si="36">SUM(G520:G522)</f>
        <v>139037.66</v>
      </c>
      <c r="H523" s="108">
        <f t="shared" si="36"/>
        <v>146732.13</v>
      </c>
      <c r="I523" s="108">
        <f t="shared" si="36"/>
        <v>1703.98</v>
      </c>
      <c r="J523" s="108">
        <f t="shared" si="36"/>
        <v>687.9</v>
      </c>
      <c r="K523" s="108">
        <f t="shared" si="36"/>
        <v>0</v>
      </c>
      <c r="L523" s="89">
        <f t="shared" si="36"/>
        <v>660951.61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13136.66</v>
      </c>
      <c r="G525" s="18">
        <v>3684.97</v>
      </c>
      <c r="H525" s="18">
        <v>105640.64</v>
      </c>
      <c r="I525" s="18">
        <v>571.98</v>
      </c>
      <c r="J525" s="18">
        <v>34.869999999999997</v>
      </c>
      <c r="K525" s="18"/>
      <c r="L525" s="88">
        <f>SUM(F525:K525)</f>
        <v>123069.12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13136.66</v>
      </c>
      <c r="G528" s="89">
        <f t="shared" ref="G528:L528" si="37">SUM(G525:G527)</f>
        <v>3684.97</v>
      </c>
      <c r="H528" s="89">
        <f t="shared" si="37"/>
        <v>105640.64</v>
      </c>
      <c r="I528" s="89">
        <f t="shared" si="37"/>
        <v>571.98</v>
      </c>
      <c r="J528" s="89">
        <f t="shared" si="37"/>
        <v>34.869999999999997</v>
      </c>
      <c r="K528" s="89">
        <f t="shared" si="37"/>
        <v>0</v>
      </c>
      <c r="L528" s="89">
        <f t="shared" si="37"/>
        <v>123069.12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11197.95</v>
      </c>
      <c r="G530" s="18">
        <v>4154.7</v>
      </c>
      <c r="H530" s="18">
        <v>194.64</v>
      </c>
      <c r="I530" s="18"/>
      <c r="J530" s="18"/>
      <c r="K530" s="18"/>
      <c r="L530" s="88">
        <f>SUM(F530:K530)</f>
        <v>15547.29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11197.95</v>
      </c>
      <c r="G533" s="89">
        <f t="shared" ref="G533:L533" si="38">SUM(G530:G532)</f>
        <v>4154.7</v>
      </c>
      <c r="H533" s="89">
        <f t="shared" si="38"/>
        <v>194.64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15547.29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7002.88</v>
      </c>
      <c r="I540" s="18"/>
      <c r="J540" s="18"/>
      <c r="K540" s="18"/>
      <c r="L540" s="88">
        <f>SUM(F540:K540)</f>
        <v>7002.88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7002.88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7002.88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397124.55</v>
      </c>
      <c r="G544" s="89">
        <f t="shared" ref="G544:L544" si="41">G523+G528+G533+G538+G543</f>
        <v>146877.33000000002</v>
      </c>
      <c r="H544" s="89">
        <f t="shared" si="41"/>
        <v>259570.29000000004</v>
      </c>
      <c r="I544" s="89">
        <f t="shared" si="41"/>
        <v>2275.96</v>
      </c>
      <c r="J544" s="89">
        <f t="shared" si="41"/>
        <v>722.77</v>
      </c>
      <c r="K544" s="89">
        <f t="shared" si="41"/>
        <v>0</v>
      </c>
      <c r="L544" s="89">
        <f t="shared" si="41"/>
        <v>806570.9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660951.61</v>
      </c>
      <c r="G548" s="87">
        <f>L525</f>
        <v>123069.12</v>
      </c>
      <c r="H548" s="87">
        <f>L530</f>
        <v>15547.29</v>
      </c>
      <c r="I548" s="87">
        <f>L535</f>
        <v>0</v>
      </c>
      <c r="J548" s="87">
        <f>L540</f>
        <v>7002.88</v>
      </c>
      <c r="K548" s="87">
        <f>SUM(F548:J548)</f>
        <v>806570.9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660951.61</v>
      </c>
      <c r="G551" s="89">
        <f t="shared" si="42"/>
        <v>123069.12</v>
      </c>
      <c r="H551" s="89">
        <f t="shared" si="42"/>
        <v>15547.29</v>
      </c>
      <c r="I551" s="89">
        <f t="shared" si="42"/>
        <v>0</v>
      </c>
      <c r="J551" s="89">
        <f t="shared" si="42"/>
        <v>7002.88</v>
      </c>
      <c r="K551" s="89">
        <f t="shared" si="42"/>
        <v>806570.9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61196.55</v>
      </c>
      <c r="G578" s="18"/>
      <c r="H578" s="18"/>
      <c r="I578" s="87">
        <f t="shared" si="47"/>
        <v>61196.55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69975.850000000006</v>
      </c>
      <c r="G582" s="18"/>
      <c r="H582" s="18"/>
      <c r="I582" s="87">
        <f t="shared" si="47"/>
        <v>69975.850000000006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94192.6</v>
      </c>
      <c r="I590" s="18"/>
      <c r="J590" s="18"/>
      <c r="K590" s="104">
        <f t="shared" ref="K590:K596" si="48">SUM(H590:J590)</f>
        <v>94192.6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7002.88</v>
      </c>
      <c r="I591" s="18"/>
      <c r="J591" s="18"/>
      <c r="K591" s="104">
        <f t="shared" si="48"/>
        <v>7002.88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3065.44</v>
      </c>
      <c r="I593" s="18"/>
      <c r="J593" s="18"/>
      <c r="K593" s="104">
        <f t="shared" si="48"/>
        <v>3065.44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13181</v>
      </c>
      <c r="I594" s="18"/>
      <c r="J594" s="18"/>
      <c r="K594" s="104">
        <f t="shared" si="48"/>
        <v>13181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117441.92000000001</v>
      </c>
      <c r="I597" s="108">
        <f>SUM(I590:I596)</f>
        <v>0</v>
      </c>
      <c r="J597" s="108">
        <f>SUM(J590:J596)</f>
        <v>0</v>
      </c>
      <c r="K597" s="108">
        <f>SUM(K590:K596)</f>
        <v>117441.92000000001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31929.63</v>
      </c>
      <c r="I603" s="18"/>
      <c r="J603" s="18"/>
      <c r="K603" s="104">
        <f>SUM(H603:J603)</f>
        <v>31929.63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31929.63</v>
      </c>
      <c r="I604" s="108">
        <f>SUM(I601:I603)</f>
        <v>0</v>
      </c>
      <c r="J604" s="108">
        <f>SUM(J601:J603)</f>
        <v>0</v>
      </c>
      <c r="K604" s="108">
        <f>SUM(K601:K603)</f>
        <v>31929.63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175161.74</v>
      </c>
      <c r="H616" s="109">
        <f>SUM(F51)</f>
        <v>175161.74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829.71999999999935</v>
      </c>
      <c r="H617" s="109">
        <f>SUM(G51)</f>
        <v>829.72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3756.7999999999997</v>
      </c>
      <c r="H618" s="109">
        <f>SUM(H51)</f>
        <v>3756.8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1139.56</v>
      </c>
      <c r="H620" s="109">
        <f>SUM(J51)</f>
        <v>1139.56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138757.18</v>
      </c>
      <c r="H621" s="109">
        <f>F475</f>
        <v>138757.1799999997</v>
      </c>
      <c r="I621" s="121" t="s">
        <v>101</v>
      </c>
      <c r="J621" s="109">
        <f t="shared" ref="J621:J654" si="50">G621-H621</f>
        <v>2.9103830456733704E-10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3756.8</v>
      </c>
      <c r="H623" s="109">
        <f>H475</f>
        <v>3756.8000000000029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1139.56</v>
      </c>
      <c r="H625" s="109">
        <f>J475</f>
        <v>1139.5600000000002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3740895.61</v>
      </c>
      <c r="H626" s="104">
        <f>SUM(F467)</f>
        <v>3740895.61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86436.96</v>
      </c>
      <c r="H627" s="104">
        <f>SUM(G467)</f>
        <v>86436.96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35893.65</v>
      </c>
      <c r="H628" s="104">
        <f>SUM(H467)</f>
        <v>35893.65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5.13</v>
      </c>
      <c r="H630" s="104">
        <f>SUM(J467)</f>
        <v>5.13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3705976.99</v>
      </c>
      <c r="H631" s="104">
        <f>SUM(F471)</f>
        <v>3705976.99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35893.65</v>
      </c>
      <c r="H632" s="104">
        <f>SUM(H471)</f>
        <v>35893.65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36718.57</v>
      </c>
      <c r="H633" s="104">
        <f>I368</f>
        <v>36718.57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86436.959999999992</v>
      </c>
      <c r="H634" s="104">
        <f>SUM(G471)</f>
        <v>86436.96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5.13</v>
      </c>
      <c r="H636" s="164">
        <f>SUM(J467)</f>
        <v>5.13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1139.56</v>
      </c>
      <c r="H638" s="104">
        <f>SUM(F460)</f>
        <v>1139.56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1139.56</v>
      </c>
      <c r="H641" s="104">
        <f>SUM(I460)</f>
        <v>1139.56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5.13</v>
      </c>
      <c r="H643" s="104">
        <f>H407</f>
        <v>5.13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5.13</v>
      </c>
      <c r="H645" s="104">
        <f>L407</f>
        <v>5.13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117441.92000000001</v>
      </c>
      <c r="H646" s="104">
        <f>L207+L225+L243</f>
        <v>117441.92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31929.63</v>
      </c>
      <c r="H647" s="104">
        <f>(J256+J337)-(J254+J335)</f>
        <v>31929.629999999997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117441.92</v>
      </c>
      <c r="H648" s="104">
        <f>H597</f>
        <v>117441.92000000001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23812.74</v>
      </c>
      <c r="H651" s="104">
        <f>K262+K344</f>
        <v>23812.74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3487184.77</v>
      </c>
      <c r="G659" s="19">
        <f>(L228+L308+L358)</f>
        <v>0</v>
      </c>
      <c r="H659" s="19">
        <f>(L246+L327+L359)</f>
        <v>0</v>
      </c>
      <c r="I659" s="19">
        <f>SUM(F659:H659)</f>
        <v>3487184.77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29335.5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29335.5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117441.92</v>
      </c>
      <c r="G661" s="19">
        <f>(L225+L305)-(J225+J305)</f>
        <v>0</v>
      </c>
      <c r="H661" s="19">
        <f>(L243+L324)-(J243+J324)</f>
        <v>0</v>
      </c>
      <c r="I661" s="19">
        <f>SUM(F661:H661)</f>
        <v>117441.92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163102.03000000003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163102.03000000003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3177305.32</v>
      </c>
      <c r="G663" s="19">
        <f>G659-SUM(G660:G662)</f>
        <v>0</v>
      </c>
      <c r="H663" s="19">
        <f>H659-SUM(H660:H662)</f>
        <v>0</v>
      </c>
      <c r="I663" s="19">
        <f>I659-SUM(I660:I662)</f>
        <v>3177305.32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200.86</v>
      </c>
      <c r="G664" s="249"/>
      <c r="H664" s="249"/>
      <c r="I664" s="19">
        <f>SUM(F664:H664)</f>
        <v>200.86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15818.51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15818.51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15818.51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15818.51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8"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THORNTON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971094.52</v>
      </c>
      <c r="C9" s="230">
        <f>'DOE25'!G196+'DOE25'!G214+'DOE25'!G232+'DOE25'!G275+'DOE25'!G294+'DOE25'!G313</f>
        <v>454613.63999999996</v>
      </c>
    </row>
    <row r="10" spans="1:3">
      <c r="A10" t="s">
        <v>779</v>
      </c>
      <c r="B10" s="241">
        <v>949684.08</v>
      </c>
      <c r="C10" s="241">
        <v>452612.74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21410.44</v>
      </c>
      <c r="C12" s="241">
        <v>2000.9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971094.5199999999</v>
      </c>
      <c r="C13" s="232">
        <f>SUM(C10:C12)</f>
        <v>454613.64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382824.93999999994</v>
      </c>
      <c r="C18" s="230">
        <f>'DOE25'!G197+'DOE25'!G215+'DOE25'!G233+'DOE25'!G276+'DOE25'!G295+'DOE25'!G314</f>
        <v>139037.60999999999</v>
      </c>
    </row>
    <row r="19" spans="1:3">
      <c r="A19" t="s">
        <v>779</v>
      </c>
      <c r="B19" s="241">
        <v>121307</v>
      </c>
      <c r="C19" s="241">
        <v>63937.52</v>
      </c>
    </row>
    <row r="20" spans="1:3">
      <c r="A20" t="s">
        <v>780</v>
      </c>
      <c r="B20" s="241">
        <v>208961.16</v>
      </c>
      <c r="C20" s="241">
        <v>61390.42</v>
      </c>
    </row>
    <row r="21" spans="1:3">
      <c r="A21" t="s">
        <v>781</v>
      </c>
      <c r="B21" s="241">
        <v>52556.78</v>
      </c>
      <c r="C21" s="241">
        <v>13709.67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382824.94000000006</v>
      </c>
      <c r="C22" s="232">
        <f>SUM(C19:C21)</f>
        <v>139037.61000000002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33732.01</v>
      </c>
      <c r="C36" s="236">
        <f>'DOE25'!G199+'DOE25'!G217+'DOE25'!G235+'DOE25'!G278+'DOE25'!G297+'DOE25'!G316</f>
        <v>6359.25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33732.01</v>
      </c>
      <c r="C39" s="241">
        <v>6359.25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33732.01</v>
      </c>
      <c r="C40" s="232">
        <f>SUM(C37:C39)</f>
        <v>6359.25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THORNTON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2214000.1</v>
      </c>
      <c r="D5" s="20">
        <f>SUM('DOE25'!L196:L199)+SUM('DOE25'!L214:L217)+SUM('DOE25'!L232:L235)-F5-G5</f>
        <v>2193024.4700000002</v>
      </c>
      <c r="E5" s="244"/>
      <c r="F5" s="256">
        <f>SUM('DOE25'!J196:J199)+SUM('DOE25'!J214:J217)+SUM('DOE25'!J232:J235)</f>
        <v>19266.710000000003</v>
      </c>
      <c r="G5" s="53">
        <f>SUM('DOE25'!K196:K199)+SUM('DOE25'!K214:K217)+SUM('DOE25'!K232:K235)</f>
        <v>1708.92</v>
      </c>
      <c r="H5" s="260"/>
    </row>
    <row r="6" spans="1:9">
      <c r="A6" s="32">
        <v>2100</v>
      </c>
      <c r="B6" t="s">
        <v>801</v>
      </c>
      <c r="C6" s="246">
        <f t="shared" si="0"/>
        <v>262574.37</v>
      </c>
      <c r="D6" s="20">
        <f>'DOE25'!L201+'DOE25'!L219+'DOE25'!L237-F6-G6</f>
        <v>262225.68</v>
      </c>
      <c r="E6" s="244"/>
      <c r="F6" s="256">
        <f>'DOE25'!J201+'DOE25'!J219+'DOE25'!J237</f>
        <v>348.69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62144.719999999994</v>
      </c>
      <c r="D7" s="20">
        <f>'DOE25'!L202+'DOE25'!L220+'DOE25'!L238-F7-G7</f>
        <v>62144.719999999994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82023.679999999993</v>
      </c>
      <c r="D8" s="244"/>
      <c r="E8" s="20">
        <f>'DOE25'!L203+'DOE25'!L221+'DOE25'!L239-F8-G8-D9-D11</f>
        <v>78991.81</v>
      </c>
      <c r="F8" s="256">
        <f>'DOE25'!J203+'DOE25'!J221+'DOE25'!J239</f>
        <v>0</v>
      </c>
      <c r="G8" s="53">
        <f>'DOE25'!K203+'DOE25'!K221+'DOE25'!K239</f>
        <v>3031.87</v>
      </c>
      <c r="H8" s="260"/>
    </row>
    <row r="9" spans="1:9">
      <c r="A9" s="32">
        <v>2310</v>
      </c>
      <c r="B9" t="s">
        <v>818</v>
      </c>
      <c r="C9" s="246">
        <f t="shared" si="0"/>
        <v>28489.84</v>
      </c>
      <c r="D9" s="245">
        <v>28489.84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5575</v>
      </c>
      <c r="D10" s="244"/>
      <c r="E10" s="245">
        <v>5575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52644.32</v>
      </c>
      <c r="D11" s="245">
        <v>52644.32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242644.54000000004</v>
      </c>
      <c r="D12" s="20">
        <f>'DOE25'!L204+'DOE25'!L222+'DOE25'!L240-F12-G12</f>
        <v>242282.98000000004</v>
      </c>
      <c r="E12" s="244"/>
      <c r="F12" s="256">
        <f>'DOE25'!J204+'DOE25'!J222+'DOE25'!J240</f>
        <v>0</v>
      </c>
      <c r="G12" s="53">
        <f>'DOE25'!K204+'DOE25'!K222+'DOE25'!K240</f>
        <v>361.56</v>
      </c>
      <c r="H12" s="260"/>
    </row>
    <row r="13" spans="1:9">
      <c r="A13" s="32">
        <v>2500</v>
      </c>
      <c r="B13" t="s">
        <v>803</v>
      </c>
      <c r="C13" s="246">
        <f t="shared" si="0"/>
        <v>270</v>
      </c>
      <c r="D13" s="244"/>
      <c r="E13" s="20">
        <f>'DOE25'!L205+'DOE25'!L223+'DOE25'!L241-F13-G13</f>
        <v>270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302620.67</v>
      </c>
      <c r="D14" s="20">
        <f>'DOE25'!L206+'DOE25'!L224+'DOE25'!L242-F14-G14</f>
        <v>294315.43</v>
      </c>
      <c r="E14" s="244"/>
      <c r="F14" s="256">
        <f>'DOE25'!J206+'DOE25'!J224+'DOE25'!J242</f>
        <v>8305.24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117441.92</v>
      </c>
      <c r="D15" s="20">
        <f>'DOE25'!L207+'DOE25'!L225+'DOE25'!L243-F15-G15</f>
        <v>117441.92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9655</v>
      </c>
      <c r="D22" s="244"/>
      <c r="E22" s="244"/>
      <c r="F22" s="256">
        <f>'DOE25'!L254+'DOE25'!L335</f>
        <v>9655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307655.09000000003</v>
      </c>
      <c r="D25" s="244"/>
      <c r="E25" s="244"/>
      <c r="F25" s="259"/>
      <c r="G25" s="257"/>
      <c r="H25" s="258">
        <f>'DOE25'!L259+'DOE25'!L260+'DOE25'!L340+'DOE25'!L341</f>
        <v>307655.09000000003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51054.419999999991</v>
      </c>
      <c r="D29" s="20">
        <f>'DOE25'!L357+'DOE25'!L358+'DOE25'!L359-'DOE25'!I366-F29-G29</f>
        <v>50790.169999999991</v>
      </c>
      <c r="E29" s="244"/>
      <c r="F29" s="256">
        <f>'DOE25'!J357+'DOE25'!J358+'DOE25'!J359</f>
        <v>0</v>
      </c>
      <c r="G29" s="53">
        <f>'DOE25'!K357+'DOE25'!K358+'DOE25'!K359</f>
        <v>264.25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35893.65</v>
      </c>
      <c r="D31" s="20">
        <f>'DOE25'!L289+'DOE25'!L308+'DOE25'!L327+'DOE25'!L332+'DOE25'!L333+'DOE25'!L334-F31-G31</f>
        <v>31659.350000000002</v>
      </c>
      <c r="E31" s="244"/>
      <c r="F31" s="256">
        <f>'DOE25'!J289+'DOE25'!J308+'DOE25'!J327+'DOE25'!J332+'DOE25'!J333+'DOE25'!J334</f>
        <v>4008.99</v>
      </c>
      <c r="G31" s="53">
        <f>'DOE25'!K289+'DOE25'!K308+'DOE25'!K327+'DOE25'!K332+'DOE25'!K333+'DOE25'!K334</f>
        <v>225.31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3335018.8800000004</v>
      </c>
      <c r="E33" s="247">
        <f>SUM(E5:E31)</f>
        <v>84836.81</v>
      </c>
      <c r="F33" s="247">
        <f>SUM(F5:F31)</f>
        <v>41584.629999999997</v>
      </c>
      <c r="G33" s="247">
        <f>SUM(G5:G31)</f>
        <v>5591.9100000000008</v>
      </c>
      <c r="H33" s="247">
        <f>SUM(H5:H31)</f>
        <v>307655.09000000003</v>
      </c>
    </row>
    <row r="35" spans="2:8" ht="12" thickBot="1">
      <c r="B35" s="254" t="s">
        <v>847</v>
      </c>
      <c r="D35" s="255">
        <f>E33</f>
        <v>84836.81</v>
      </c>
      <c r="E35" s="250"/>
    </row>
    <row r="36" spans="2:8" ht="12" thickTop="1">
      <c r="B36" t="s">
        <v>815</v>
      </c>
      <c r="D36" s="20">
        <f>D33</f>
        <v>3335018.8800000004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THORNTON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152538.51999999999</v>
      </c>
      <c r="D8" s="95">
        <f>'DOE25'!G9</f>
        <v>-4878.3900000000003</v>
      </c>
      <c r="E8" s="95">
        <f>'DOE25'!H9</f>
        <v>1006.33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1139.56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22623.22</v>
      </c>
      <c r="D12" s="95">
        <f>'DOE25'!G13</f>
        <v>5708.11</v>
      </c>
      <c r="E12" s="95">
        <f>'DOE25'!H13</f>
        <v>2750.47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175161.74</v>
      </c>
      <c r="D18" s="41">
        <f>SUM(D8:D17)</f>
        <v>829.71999999999935</v>
      </c>
      <c r="E18" s="41">
        <f>SUM(E8:E17)</f>
        <v>3756.7999999999997</v>
      </c>
      <c r="F18" s="41">
        <f>SUM(F8:F17)</f>
        <v>0</v>
      </c>
      <c r="G18" s="41">
        <f>SUM(G8:G17)</f>
        <v>1139.56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36404.559999999998</v>
      </c>
      <c r="D23" s="95">
        <f>'DOE25'!G24</f>
        <v>124.49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705.23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36404.559999999998</v>
      </c>
      <c r="D31" s="41">
        <f>SUM(D21:D30)</f>
        <v>829.72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3756.8</v>
      </c>
      <c r="F46" s="95">
        <f>'DOE25'!I47</f>
        <v>0</v>
      </c>
      <c r="G46" s="95">
        <f>'DOE25'!J47</f>
        <v>1139.56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87264.57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51492.61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138757.18</v>
      </c>
      <c r="D49" s="41">
        <f>SUM(D34:D48)</f>
        <v>0</v>
      </c>
      <c r="E49" s="41">
        <f>SUM(E34:E48)</f>
        <v>3756.8</v>
      </c>
      <c r="F49" s="41">
        <f>SUM(F34:F48)</f>
        <v>0</v>
      </c>
      <c r="G49" s="41">
        <f>SUM(G34:G48)</f>
        <v>1139.56</v>
      </c>
      <c r="H49" s="124"/>
      <c r="I49" s="124"/>
    </row>
    <row r="50" spans="1:9" ht="12" thickTop="1">
      <c r="A50" s="38" t="s">
        <v>895</v>
      </c>
      <c r="B50" s="2"/>
      <c r="C50" s="41">
        <f>C49+C31</f>
        <v>175161.74</v>
      </c>
      <c r="D50" s="41">
        <f>D49+D31</f>
        <v>829.72</v>
      </c>
      <c r="E50" s="41">
        <f>E49+E31</f>
        <v>3756.8</v>
      </c>
      <c r="F50" s="41">
        <f>F49+F31</f>
        <v>0</v>
      </c>
      <c r="G50" s="41">
        <f>G49+G31</f>
        <v>1139.56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2613250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119.56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5.13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29335.5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1768.07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1887.6299999999999</v>
      </c>
      <c r="D61" s="130">
        <f>SUM(D56:D60)</f>
        <v>29335.5</v>
      </c>
      <c r="E61" s="130">
        <f>SUM(E56:E60)</f>
        <v>0</v>
      </c>
      <c r="F61" s="130">
        <f>SUM(F56:F60)</f>
        <v>0</v>
      </c>
      <c r="G61" s="130">
        <f>SUM(G56:G60)</f>
        <v>5.13</v>
      </c>
      <c r="H61"/>
      <c r="I61"/>
    </row>
    <row r="62" spans="1:9" ht="12" thickTop="1">
      <c r="A62" s="29" t="s">
        <v>175</v>
      </c>
      <c r="B62" s="6"/>
      <c r="C62" s="22">
        <f>C55+C61</f>
        <v>2615137.63</v>
      </c>
      <c r="D62" s="22">
        <f>D55+D61</f>
        <v>29335.5</v>
      </c>
      <c r="E62" s="22">
        <f>E55+E61</f>
        <v>0</v>
      </c>
      <c r="F62" s="22">
        <f>F55+F61</f>
        <v>0</v>
      </c>
      <c r="G62" s="22">
        <f>G55+G61</f>
        <v>5.13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355729.78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607673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308.22000000000003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963711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91020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771.86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91020</v>
      </c>
      <c r="D77" s="130">
        <f>SUM(D71:D76)</f>
        <v>771.86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1054731</v>
      </c>
      <c r="D80" s="130">
        <f>SUM(D78:D79)+D77+D69</f>
        <v>771.86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59590.84</v>
      </c>
      <c r="D87" s="95">
        <f>SUM('DOE25'!G152:G160)</f>
        <v>32516.86</v>
      </c>
      <c r="E87" s="95">
        <f>SUM('DOE25'!H152:H160)</f>
        <v>35893.65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11436.14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71026.98</v>
      </c>
      <c r="D90" s="131">
        <f>SUM(D84:D89)</f>
        <v>32516.86</v>
      </c>
      <c r="E90" s="131">
        <f>SUM(E84:E89)</f>
        <v>35893.65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23812.74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23812.74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3740895.61</v>
      </c>
      <c r="D103" s="86">
        <f>D62+D80+D90+D102</f>
        <v>86436.96</v>
      </c>
      <c r="E103" s="86">
        <f>E62+E80+E90+E102</f>
        <v>35893.65</v>
      </c>
      <c r="F103" s="86">
        <f>F62+F80+F90+F102</f>
        <v>0</v>
      </c>
      <c r="G103" s="86">
        <f>G62+G80+G102</f>
        <v>5.13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1515724.27</v>
      </c>
      <c r="D108" s="24" t="s">
        <v>289</v>
      </c>
      <c r="E108" s="95">
        <f>('DOE25'!L275)+('DOE25'!L294)+('DOE25'!L313)</f>
        <v>10898.42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649956.97</v>
      </c>
      <c r="D109" s="24" t="s">
        <v>289</v>
      </c>
      <c r="E109" s="95">
        <f>('DOE25'!L276)+('DOE25'!L295)+('DOE25'!L314)</f>
        <v>24663.19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48318.86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2214000.1</v>
      </c>
      <c r="D114" s="86">
        <f>SUM(D108:D113)</f>
        <v>0</v>
      </c>
      <c r="E114" s="86">
        <f>SUM(E108:E113)</f>
        <v>35561.61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262574.37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62144.719999999994</v>
      </c>
      <c r="D118" s="24" t="s">
        <v>289</v>
      </c>
      <c r="E118" s="95">
        <f>+('DOE25'!L281)+('DOE25'!L300)+('DOE25'!L319)</f>
        <v>106.73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163157.84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242644.54000000004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270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302620.67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117441.92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225.31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86436.959999999992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1150854.0599999998</v>
      </c>
      <c r="D127" s="86">
        <f>SUM(D117:D126)</f>
        <v>86436.959999999992</v>
      </c>
      <c r="E127" s="86">
        <f>SUM(E117:E126)</f>
        <v>332.04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9655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277400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30255.09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23812.74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5.13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-5.13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341122.83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3705976.99</v>
      </c>
      <c r="D144" s="86">
        <f>(D114+D127+D143)</f>
        <v>86436.959999999992</v>
      </c>
      <c r="E144" s="86">
        <f>(E114+E127+E143)</f>
        <v>35893.65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1387000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2.4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1387000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1387000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277400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277400</v>
      </c>
    </row>
    <row r="158" spans="1:9">
      <c r="A158" s="22" t="s">
        <v>35</v>
      </c>
      <c r="B158" s="137">
        <f>'DOE25'!F497</f>
        <v>1109600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1109600</v>
      </c>
    </row>
    <row r="159" spans="1:9">
      <c r="A159" s="22" t="s">
        <v>36</v>
      </c>
      <c r="B159" s="137">
        <f>'DOE25'!F498</f>
        <v>54980.91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54980.91</v>
      </c>
    </row>
    <row r="160" spans="1:9">
      <c r="A160" s="22" t="s">
        <v>37</v>
      </c>
      <c r="B160" s="137">
        <f>'DOE25'!F499</f>
        <v>1164580.9099999999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1164580.9099999999</v>
      </c>
    </row>
    <row r="161" spans="1:7">
      <c r="A161" s="22" t="s">
        <v>38</v>
      </c>
      <c r="B161" s="137">
        <f>'DOE25'!F500</f>
        <v>277400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277400</v>
      </c>
    </row>
    <row r="162" spans="1:7">
      <c r="A162" s="22" t="s">
        <v>39</v>
      </c>
      <c r="B162" s="137">
        <f>'DOE25'!F501</f>
        <v>23671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23671</v>
      </c>
    </row>
    <row r="163" spans="1:7">
      <c r="A163" s="22" t="s">
        <v>246</v>
      </c>
      <c r="B163" s="137">
        <f>'DOE25'!F502</f>
        <v>301071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301071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THORNTON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15819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15819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1526623</v>
      </c>
      <c r="D10" s="182">
        <f>ROUND((C10/$C$28)*100,1)</f>
        <v>43.8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674620</v>
      </c>
      <c r="D11" s="182">
        <f>ROUND((C11/$C$28)*100,1)</f>
        <v>19.3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48319</v>
      </c>
      <c r="D13" s="182">
        <f>ROUND((C13/$C$28)*100,1)</f>
        <v>1.4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262574</v>
      </c>
      <c r="D15" s="182">
        <f t="shared" ref="D15:D27" si="0">ROUND((C15/$C$28)*100,1)</f>
        <v>7.5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62251</v>
      </c>
      <c r="D16" s="182">
        <f t="shared" si="0"/>
        <v>1.8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163383</v>
      </c>
      <c r="D17" s="182">
        <f t="shared" si="0"/>
        <v>4.7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242645</v>
      </c>
      <c r="D18" s="182">
        <f t="shared" si="0"/>
        <v>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270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302621</v>
      </c>
      <c r="D20" s="182">
        <f t="shared" si="0"/>
        <v>8.6999999999999993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117442</v>
      </c>
      <c r="D21" s="182">
        <f t="shared" si="0"/>
        <v>3.4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30255</v>
      </c>
      <c r="D25" s="182">
        <f t="shared" si="0"/>
        <v>0.9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57101.5</v>
      </c>
      <c r="D27" s="182">
        <f t="shared" si="0"/>
        <v>1.6</v>
      </c>
    </row>
    <row r="28" spans="1:4">
      <c r="B28" s="187" t="s">
        <v>723</v>
      </c>
      <c r="C28" s="180">
        <f>SUM(C10:C27)</f>
        <v>3488104.5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9655</v>
      </c>
    </row>
    <row r="30" spans="1:4">
      <c r="B30" s="187" t="s">
        <v>729</v>
      </c>
      <c r="C30" s="180">
        <f>SUM(C28:C29)</f>
        <v>3497759.5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277400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2613250</v>
      </c>
      <c r="D35" s="182">
        <f t="shared" ref="D35:D40" si="1">ROUND((C35/$C$41)*100,1)</f>
        <v>68.599999999999994</v>
      </c>
    </row>
    <row r="36" spans="1:4">
      <c r="B36" s="185" t="s">
        <v>743</v>
      </c>
      <c r="C36" s="179">
        <f>SUM('DOE25'!F111:J111)-SUM('DOE25'!G96:G109)+('DOE25'!F173+'DOE25'!F174+'DOE25'!I173+'DOE25'!I174)-C35</f>
        <v>1892.7599999997765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963711</v>
      </c>
      <c r="D37" s="182">
        <f t="shared" si="1"/>
        <v>25.3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91792</v>
      </c>
      <c r="D38" s="182">
        <f t="shared" si="1"/>
        <v>2.4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139437</v>
      </c>
      <c r="D39" s="182">
        <f t="shared" si="1"/>
        <v>3.7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3810082.76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THORNTON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2012-10-15T17:53:07Z</cp:lastPrinted>
  <dcterms:created xsi:type="dcterms:W3CDTF">1997-12-04T19:04:30Z</dcterms:created>
  <dcterms:modified xsi:type="dcterms:W3CDTF">2012-11-21T16:13:16Z</dcterms:modified>
</cp:coreProperties>
</file>