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69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D9" i="13" l="1"/>
  <c r="C39" i="12" l="1"/>
  <c r="C37" i="12"/>
  <c r="B39" i="12"/>
  <c r="C21" i="12"/>
  <c r="C20" i="12"/>
  <c r="C19" i="12"/>
  <c r="B21" i="12"/>
  <c r="C12" i="12"/>
  <c r="C11" i="12"/>
  <c r="C10" i="12"/>
  <c r="B12" i="12"/>
  <c r="B11" i="12"/>
  <c r="C9" i="12" l="1"/>
  <c r="J467" i="1" l="1"/>
  <c r="F467" i="1"/>
  <c r="F95" i="1"/>
  <c r="H471" i="1"/>
  <c r="F471" i="1"/>
  <c r="J603" i="1"/>
  <c r="H334" i="1"/>
  <c r="G334" i="1"/>
  <c r="F334" i="1"/>
  <c r="H467" i="1"/>
  <c r="H581" i="1"/>
  <c r="G567" i="1"/>
  <c r="G566" i="1"/>
  <c r="H568" i="1"/>
  <c r="H567" i="1"/>
  <c r="I232" i="1"/>
  <c r="H109" i="1"/>
  <c r="F13" i="1"/>
  <c r="F497" i="1" l="1"/>
  <c r="H158" i="1"/>
  <c r="H154" i="1"/>
  <c r="H153" i="1"/>
  <c r="G157" i="1"/>
  <c r="G96" i="1"/>
  <c r="F109" i="1"/>
  <c r="F100" i="1"/>
  <c r="F62" i="1"/>
  <c r="F58" i="1"/>
  <c r="H22" i="1"/>
  <c r="H9" i="1"/>
  <c r="G9" i="1" l="1"/>
  <c r="F319" i="1" l="1"/>
  <c r="F300" i="1"/>
  <c r="F281" i="1"/>
  <c r="G254" i="1"/>
  <c r="F9" i="1"/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C122" i="2" s="1"/>
  <c r="L242" i="1"/>
  <c r="F15" i="13"/>
  <c r="G15" i="13"/>
  <c r="L207" i="1"/>
  <c r="C21" i="10" s="1"/>
  <c r="L225" i="1"/>
  <c r="L243" i="1"/>
  <c r="G650" i="1" s="1"/>
  <c r="F17" i="13"/>
  <c r="G17" i="13"/>
  <c r="L250" i="1"/>
  <c r="F18" i="13"/>
  <c r="G18" i="13"/>
  <c r="L251" i="1"/>
  <c r="C113" i="2" s="1"/>
  <c r="F19" i="13"/>
  <c r="G19" i="13"/>
  <c r="L252" i="1"/>
  <c r="F29" i="13"/>
  <c r="G29" i="13"/>
  <c r="L357" i="1"/>
  <c r="L358" i="1"/>
  <c r="L359" i="1"/>
  <c r="H660" i="1" s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G661" i="1" s="1"/>
  <c r="L306" i="1"/>
  <c r="L313" i="1"/>
  <c r="L314" i="1"/>
  <c r="E109" i="2" s="1"/>
  <c r="L315" i="1"/>
  <c r="L316" i="1"/>
  <c r="E111" i="2" s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C131" i="2" s="1"/>
  <c r="L340" i="1"/>
  <c r="L341" i="1"/>
  <c r="E131" i="2" s="1"/>
  <c r="L254" i="1"/>
  <c r="L335" i="1"/>
  <c r="E129" i="2" s="1"/>
  <c r="C11" i="13"/>
  <c r="C10" i="13"/>
  <c r="C9" i="13"/>
  <c r="L360" i="1"/>
  <c r="L361" i="1" s="1"/>
  <c r="C27" i="10" s="1"/>
  <c r="B4" i="12"/>
  <c r="B36" i="12"/>
  <c r="C36" i="12"/>
  <c r="B40" i="12"/>
  <c r="C40" i="12"/>
  <c r="B27" i="12"/>
  <c r="A31" i="12" s="1"/>
  <c r="C27" i="12"/>
  <c r="B31" i="12"/>
  <c r="C31" i="12"/>
  <c r="B9" i="12"/>
  <c r="B13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C57" i="2" s="1"/>
  <c r="F110" i="1"/>
  <c r="G110" i="1"/>
  <c r="G111" i="1" s="1"/>
  <c r="H78" i="1"/>
  <c r="E56" i="2" s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D84" i="2" s="1"/>
  <c r="G161" i="1"/>
  <c r="H146" i="1"/>
  <c r="H161" i="1"/>
  <c r="I146" i="1"/>
  <c r="F84" i="2" s="1"/>
  <c r="I161" i="1"/>
  <c r="L249" i="1"/>
  <c r="L331" i="1"/>
  <c r="L253" i="1"/>
  <c r="L267" i="1"/>
  <c r="C141" i="2" s="1"/>
  <c r="L268" i="1"/>
  <c r="L348" i="1"/>
  <c r="L349" i="1"/>
  <c r="E142" i="2" s="1"/>
  <c r="I664" i="1"/>
  <c r="I669" i="1"/>
  <c r="L246" i="1"/>
  <c r="F661" i="1"/>
  <c r="I668" i="1"/>
  <c r="C42" i="10"/>
  <c r="C32" i="10"/>
  <c r="L373" i="1"/>
  <c r="F129" i="2" s="1"/>
  <c r="L374" i="1"/>
  <c r="L375" i="1"/>
  <c r="L376" i="1"/>
  <c r="L377" i="1"/>
  <c r="L378" i="1"/>
  <c r="L379" i="1"/>
  <c r="B2" i="10"/>
  <c r="L343" i="1"/>
  <c r="E133" i="2" s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0" i="2"/>
  <c r="K269" i="1"/>
  <c r="J269" i="1"/>
  <c r="I269" i="1"/>
  <c r="H269" i="1"/>
  <c r="G269" i="1"/>
  <c r="F269" i="1"/>
  <c r="C130" i="2"/>
  <c r="A1" i="2"/>
  <c r="A2" i="2"/>
  <c r="C8" i="2"/>
  <c r="D8" i="2"/>
  <c r="E8" i="2"/>
  <c r="F8" i="2"/>
  <c r="I438" i="1"/>
  <c r="J9" i="1" s="1"/>
  <c r="G8" i="2" s="1"/>
  <c r="C9" i="2"/>
  <c r="D9" i="2"/>
  <c r="D18" i="2" s="1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F31" i="2" s="1"/>
  <c r="I447" i="1"/>
  <c r="J22" i="1" s="1"/>
  <c r="G21" i="2" s="1"/>
  <c r="C22" i="2"/>
  <c r="C31" i="2" s="1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D49" i="2" s="1"/>
  <c r="E34" i="2"/>
  <c r="F34" i="2"/>
  <c r="F49" i="2" s="1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7" i="2"/>
  <c r="C58" i="2"/>
  <c r="D58" i="2"/>
  <c r="E58" i="2"/>
  <c r="F58" i="2"/>
  <c r="F61" i="2" s="1"/>
  <c r="F62" i="2" s="1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E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G102" i="2" s="1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9" i="2"/>
  <c r="C110" i="2"/>
  <c r="C111" i="2"/>
  <c r="C112" i="2"/>
  <c r="E112" i="2"/>
  <c r="E113" i="2"/>
  <c r="D114" i="2"/>
  <c r="F114" i="2"/>
  <c r="G114" i="2"/>
  <c r="E117" i="2"/>
  <c r="E118" i="2"/>
  <c r="E119" i="2"/>
  <c r="E120" i="2"/>
  <c r="E121" i="2"/>
  <c r="E122" i="2"/>
  <c r="E123" i="2"/>
  <c r="E124" i="2"/>
  <c r="F127" i="2"/>
  <c r="G127" i="2"/>
  <c r="C129" i="2"/>
  <c r="D133" i="2"/>
  <c r="D143" i="2" s="1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E141" i="2"/>
  <c r="C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G158" i="2" s="1"/>
  <c r="C158" i="2"/>
  <c r="D158" i="2"/>
  <c r="E158" i="2"/>
  <c r="F158" i="2"/>
  <c r="B159" i="2"/>
  <c r="C159" i="2"/>
  <c r="D159" i="2"/>
  <c r="E159" i="2"/>
  <c r="F159" i="2"/>
  <c r="F499" i="1"/>
  <c r="B160" i="2" s="1"/>
  <c r="G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J616" i="1" s="1"/>
  <c r="G19" i="1"/>
  <c r="G617" i="1" s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K256" i="1" s="1"/>
  <c r="K270" i="1" s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K337" i="1" s="1"/>
  <c r="K351" i="1" s="1"/>
  <c r="F361" i="1"/>
  <c r="G361" i="1"/>
  <c r="H361" i="1"/>
  <c r="I361" i="1"/>
  <c r="G633" i="1" s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644" i="1" s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H433" i="1" s="1"/>
  <c r="I426" i="1"/>
  <c r="J426" i="1"/>
  <c r="J433" i="1" s="1"/>
  <c r="L428" i="1"/>
  <c r="L429" i="1"/>
  <c r="L430" i="1"/>
  <c r="L431" i="1"/>
  <c r="F432" i="1"/>
  <c r="G432" i="1"/>
  <c r="H432" i="1"/>
  <c r="I432" i="1"/>
  <c r="J432" i="1"/>
  <c r="F433" i="1"/>
  <c r="F445" i="1"/>
  <c r="G638" i="1" s="1"/>
  <c r="G445" i="1"/>
  <c r="G639" i="1" s="1"/>
  <c r="H445" i="1"/>
  <c r="F451" i="1"/>
  <c r="G451" i="1"/>
  <c r="H451" i="1"/>
  <c r="F459" i="1"/>
  <c r="G459" i="1"/>
  <c r="H459" i="1"/>
  <c r="F460" i="1"/>
  <c r="G460" i="1"/>
  <c r="H460" i="1"/>
  <c r="H640" i="1" s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G618" i="1"/>
  <c r="J618" i="1" s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H639" i="1"/>
  <c r="G640" i="1"/>
  <c r="G642" i="1"/>
  <c r="H642" i="1"/>
  <c r="G643" i="1"/>
  <c r="H643" i="1"/>
  <c r="G648" i="1"/>
  <c r="G649" i="1"/>
  <c r="G651" i="1"/>
  <c r="H651" i="1"/>
  <c r="J651" i="1"/>
  <c r="G652" i="1"/>
  <c r="H652" i="1"/>
  <c r="J652" i="1" s="1"/>
  <c r="G653" i="1"/>
  <c r="H653" i="1"/>
  <c r="J653" i="1" s="1"/>
  <c r="H654" i="1"/>
  <c r="F191" i="1"/>
  <c r="G159" i="2"/>
  <c r="L327" i="1"/>
  <c r="D61" i="2"/>
  <c r="D62" i="2" s="1"/>
  <c r="D7" i="13"/>
  <c r="C7" i="13" s="1"/>
  <c r="D6" i="13"/>
  <c r="C6" i="13" s="1"/>
  <c r="G80" i="2"/>
  <c r="C77" i="2"/>
  <c r="G156" i="2"/>
  <c r="F18" i="2"/>
  <c r="G155" i="2"/>
  <c r="C102" i="2"/>
  <c r="D19" i="13"/>
  <c r="C19" i="13" s="1"/>
  <c r="A40" i="12" l="1"/>
  <c r="L406" i="1"/>
  <c r="C139" i="2" s="1"/>
  <c r="E110" i="2"/>
  <c r="C10" i="10"/>
  <c r="F660" i="1"/>
  <c r="I660" i="1" s="1"/>
  <c r="C17" i="10"/>
  <c r="D18" i="13"/>
  <c r="C18" i="13" s="1"/>
  <c r="J649" i="1"/>
  <c r="L533" i="1"/>
  <c r="K499" i="1"/>
  <c r="I459" i="1"/>
  <c r="I451" i="1"/>
  <c r="I445" i="1"/>
  <c r="G641" i="1" s="1"/>
  <c r="H661" i="1"/>
  <c r="G660" i="1"/>
  <c r="C26" i="10"/>
  <c r="C25" i="10"/>
  <c r="C11" i="10"/>
  <c r="G162" i="2"/>
  <c r="E102" i="2"/>
  <c r="F102" i="2"/>
  <c r="F77" i="2"/>
  <c r="F80" i="2" s="1"/>
  <c r="E143" i="2"/>
  <c r="E49" i="2"/>
  <c r="F90" i="2"/>
  <c r="F103" i="2" s="1"/>
  <c r="G61" i="2"/>
  <c r="L255" i="1"/>
  <c r="H659" i="1"/>
  <c r="H663" i="1" s="1"/>
  <c r="H671" i="1" s="1"/>
  <c r="C6" i="10" s="1"/>
  <c r="L228" i="1"/>
  <c r="C108" i="2"/>
  <c r="C114" i="2" s="1"/>
  <c r="C124" i="2"/>
  <c r="C118" i="2"/>
  <c r="C18" i="2"/>
  <c r="I661" i="1"/>
  <c r="C123" i="2"/>
  <c r="C120" i="2"/>
  <c r="C15" i="10"/>
  <c r="C19" i="10"/>
  <c r="C119" i="2"/>
  <c r="E108" i="2"/>
  <c r="C12" i="10"/>
  <c r="L289" i="1"/>
  <c r="G163" i="2"/>
  <c r="G161" i="2"/>
  <c r="G157" i="2"/>
  <c r="J634" i="1"/>
  <c r="E61" i="2"/>
  <c r="E62" i="2" s="1"/>
  <c r="D90" i="2"/>
  <c r="C90" i="2"/>
  <c r="C69" i="2"/>
  <c r="C61" i="2"/>
  <c r="C62" i="2" s="1"/>
  <c r="E31" i="2"/>
  <c r="E18" i="2"/>
  <c r="D31" i="2"/>
  <c r="F544" i="1"/>
  <c r="I433" i="1"/>
  <c r="G433" i="1"/>
  <c r="E13" i="13"/>
  <c r="C13" i="13" s="1"/>
  <c r="F50" i="2"/>
  <c r="E8" i="13"/>
  <c r="C8" i="13" s="1"/>
  <c r="D15" i="13"/>
  <c r="C15" i="13" s="1"/>
  <c r="D12" i="13"/>
  <c r="C12" i="13" s="1"/>
  <c r="L350" i="1"/>
  <c r="H646" i="1"/>
  <c r="G644" i="1"/>
  <c r="J644" i="1" s="1"/>
  <c r="L613" i="1"/>
  <c r="G570" i="1"/>
  <c r="L538" i="1"/>
  <c r="L528" i="1"/>
  <c r="L544" i="1" s="1"/>
  <c r="K502" i="1"/>
  <c r="J337" i="1"/>
  <c r="J351" i="1" s="1"/>
  <c r="F270" i="1"/>
  <c r="I191" i="1"/>
  <c r="K433" i="1"/>
  <c r="G133" i="2" s="1"/>
  <c r="G143" i="2" s="1"/>
  <c r="G144" i="2" s="1"/>
  <c r="D126" i="2"/>
  <c r="D127" i="2" s="1"/>
  <c r="C121" i="2"/>
  <c r="C117" i="2"/>
  <c r="C24" i="10"/>
  <c r="G168" i="1"/>
  <c r="I139" i="1"/>
  <c r="G139" i="1"/>
  <c r="I662" i="1"/>
  <c r="G31" i="13"/>
  <c r="G33" i="13" s="1"/>
  <c r="D17" i="13"/>
  <c r="C17" i="13" s="1"/>
  <c r="D29" i="13"/>
  <c r="C29" i="13" s="1"/>
  <c r="C20" i="10"/>
  <c r="C18" i="10"/>
  <c r="C16" i="10"/>
  <c r="E114" i="2"/>
  <c r="I337" i="1"/>
  <c r="I351" i="1" s="1"/>
  <c r="F31" i="13"/>
  <c r="D14" i="13"/>
  <c r="C14" i="13" s="1"/>
  <c r="C13" i="10"/>
  <c r="D102" i="2"/>
  <c r="I256" i="1"/>
  <c r="I270" i="1" s="1"/>
  <c r="G256" i="1"/>
  <c r="G270" i="1" s="1"/>
  <c r="J648" i="1"/>
  <c r="L210" i="1"/>
  <c r="F659" i="1" s="1"/>
  <c r="A22" i="12"/>
  <c r="F139" i="1"/>
  <c r="D50" i="2"/>
  <c r="E90" i="2"/>
  <c r="C80" i="2"/>
  <c r="E77" i="2"/>
  <c r="E80" i="2" s="1"/>
  <c r="E103" i="2" s="1"/>
  <c r="L426" i="1"/>
  <c r="J256" i="1"/>
  <c r="H111" i="1"/>
  <c r="F111" i="1"/>
  <c r="J640" i="1"/>
  <c r="J638" i="1"/>
  <c r="K604" i="1"/>
  <c r="G647" i="1" s="1"/>
  <c r="J570" i="1"/>
  <c r="K570" i="1"/>
  <c r="L432" i="1"/>
  <c r="L418" i="1"/>
  <c r="L433" i="1" s="1"/>
  <c r="G637" i="1" s="1"/>
  <c r="J637" i="1" s="1"/>
  <c r="D80" i="2"/>
  <c r="I168" i="1"/>
  <c r="H168" i="1"/>
  <c r="J270" i="1"/>
  <c r="G551" i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J624" i="1" s="1"/>
  <c r="G475" i="1"/>
  <c r="H622" i="1" s="1"/>
  <c r="J622" i="1" s="1"/>
  <c r="G337" i="1"/>
  <c r="G351" i="1" s="1"/>
  <c r="D144" i="2"/>
  <c r="C23" i="10"/>
  <c r="F168" i="1"/>
  <c r="J139" i="1"/>
  <c r="J192" i="1" s="1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H139" i="1"/>
  <c r="C38" i="10" s="1"/>
  <c r="L400" i="1"/>
  <c r="C138" i="2" s="1"/>
  <c r="L392" i="1"/>
  <c r="A13" i="12"/>
  <c r="F22" i="13"/>
  <c r="H25" i="13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H191" i="1"/>
  <c r="E127" i="2"/>
  <c r="F551" i="1"/>
  <c r="C35" i="10"/>
  <c r="L308" i="1"/>
  <c r="D5" i="13"/>
  <c r="E16" i="13"/>
  <c r="C49" i="2"/>
  <c r="C50" i="2" s="1"/>
  <c r="J654" i="1"/>
  <c r="L569" i="1"/>
  <c r="I570" i="1"/>
  <c r="I544" i="1"/>
  <c r="J635" i="1"/>
  <c r="G36" i="2"/>
  <c r="G49" i="2" s="1"/>
  <c r="J50" i="1"/>
  <c r="C39" i="10"/>
  <c r="L564" i="1"/>
  <c r="G544" i="1"/>
  <c r="H544" i="1"/>
  <c r="K550" i="1"/>
  <c r="F143" i="2"/>
  <c r="F144" i="2" s="1"/>
  <c r="K551" i="1" l="1"/>
  <c r="G192" i="1"/>
  <c r="G627" i="1" s="1"/>
  <c r="J627" i="1" s="1"/>
  <c r="F663" i="1"/>
  <c r="I460" i="1"/>
  <c r="H641" i="1" s="1"/>
  <c r="J641" i="1" s="1"/>
  <c r="L570" i="1"/>
  <c r="H666" i="1"/>
  <c r="C127" i="2"/>
  <c r="E144" i="2"/>
  <c r="H647" i="1"/>
  <c r="J647" i="1" s="1"/>
  <c r="H192" i="1"/>
  <c r="G628" i="1" s="1"/>
  <c r="J628" i="1" s="1"/>
  <c r="D103" i="2"/>
  <c r="C103" i="2"/>
  <c r="C36" i="10"/>
  <c r="C41" i="10" s="1"/>
  <c r="D39" i="10" s="1"/>
  <c r="C28" i="10"/>
  <c r="D22" i="10" s="1"/>
  <c r="G50" i="2"/>
  <c r="D27" i="10"/>
  <c r="L256" i="1"/>
  <c r="L270" i="1" s="1"/>
  <c r="G631" i="1" s="1"/>
  <c r="J631" i="1" s="1"/>
  <c r="D15" i="10"/>
  <c r="F192" i="1"/>
  <c r="G626" i="1" s="1"/>
  <c r="J626" i="1" s="1"/>
  <c r="D16" i="10"/>
  <c r="C5" i="13"/>
  <c r="C22" i="13"/>
  <c r="F33" i="13"/>
  <c r="C137" i="2"/>
  <c r="C140" i="2" s="1"/>
  <c r="C143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F666" i="1"/>
  <c r="F671" i="1"/>
  <c r="C4" i="10" s="1"/>
  <c r="G630" i="1"/>
  <c r="J630" i="1" s="1"/>
  <c r="G645" i="1"/>
  <c r="G625" i="1"/>
  <c r="J51" i="1"/>
  <c r="H620" i="1" s="1"/>
  <c r="J620" i="1" s="1"/>
  <c r="C144" i="2" l="1"/>
  <c r="D21" i="10"/>
  <c r="D12" i="10"/>
  <c r="D19" i="10"/>
  <c r="D23" i="10"/>
  <c r="D11" i="10"/>
  <c r="D10" i="10"/>
  <c r="D20" i="10"/>
  <c r="D13" i="10"/>
  <c r="D18" i="10"/>
  <c r="D26" i="10"/>
  <c r="D24" i="10"/>
  <c r="C30" i="10"/>
  <c r="D17" i="10"/>
  <c r="D25" i="10"/>
  <c r="G636" i="1"/>
  <c r="J636" i="1" s="1"/>
  <c r="H645" i="1"/>
  <c r="J645" i="1" s="1"/>
  <c r="D33" i="13"/>
  <c r="D36" i="13" s="1"/>
  <c r="G663" i="1"/>
  <c r="I659" i="1"/>
  <c r="I663" i="1" s="1"/>
  <c r="D37" i="10"/>
  <c r="D35" i="10"/>
  <c r="D40" i="10"/>
  <c r="D36" i="10"/>
  <c r="D38" i="10"/>
  <c r="J625" i="1"/>
  <c r="H655" i="1" l="1"/>
  <c r="D28" i="10"/>
  <c r="D41" i="10"/>
  <c r="I666" i="1"/>
  <c r="I671" i="1"/>
  <c r="C7" i="10" s="1"/>
  <c r="G671" i="1"/>
  <c r="C5" i="10" s="1"/>
  <c r="G666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<sst xmlns="http://schemas.openxmlformats.org/spreadsheetml/2006/main" count="3946" uniqueCount="913">
  <si>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</si>
  <si>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</si>
  <si>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</si>
  <si>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</si>
  <si>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</si>
  <si>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</si>
  <si>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</si>
  <si>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</si>
  <si>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</si>
  <si>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</si>
  <si>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</si>
  <si>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</si>
  <si>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</si>
  <si>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</si>
  <si>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</si>
  <si>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</si>
  <si>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</si>
  <si>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</si>
  <si>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</si>
  <si>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</si>
  <si>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</si>
  <si>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</si>
  <si>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</si>
  <si>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</si>
  <si>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</si>
  <si>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</si>
  <si>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</si>
  <si>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</si>
  <si>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</si>
  <si>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</si>
  <si>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</si>
  <si>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</si>
  <si>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</si>
  <si>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</si>
  <si>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</si>
  <si>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</si>
  <si>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</si>
  <si>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</si>
  <si>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</si>
  <si>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</si>
  <si>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</si>
  <si>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</si>
  <si>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</si>
  <si>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</si>
  <si>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</si>
  <si>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</si>
  <si>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</si>
  <si>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</si>
  <si>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</si>
  <si>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</si>
  <si>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</si>
  <si>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</si>
  <si>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</si>
  <si>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</si>
  <si>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</si>
  <si>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</si>
  <si>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</si>
  <si>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</si>
  <si>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</si>
  <si>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</si>
  <si>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</si>
  <si>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</si>
  <si>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</si>
  <si>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</si>
  <si>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</si>
  <si>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</si>
  <si>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</si>
  <si>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</si>
  <si>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</si>
  <si>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</si>
  <si>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</si>
  <si>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</si>
  <si>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</si>
  <si>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</si>
  <si>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</si>
  <si>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</si>
  <si>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</si>
  <si>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</si>
  <si>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</si>
  <si>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</si>
  <si>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</si>
  <si>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</si>
  <si>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</si>
  <si>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</si>
  <si>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</si>
  <si>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</si>
  <si>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</si>
  <si>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</si>
  <si>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</si>
  <si>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</si>
  <si>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</si>
  <si>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</si>
  <si>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</si>
  <si>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</si>
  <si>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</si>
  <si>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</si>
  <si>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</si>
  <si>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</si>
  <si>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</si>
  <si>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</si>
  <si>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</si>
  <si>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</si>
  <si>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</si>
  <si>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</si>
  <si>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</si>
  <si>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</si>
  <si>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</si>
  <si>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</si>
  <si>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</si>
  <si>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</si>
  <si>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</si>
  <si>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</si>
  <si>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</si>
  <si>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</si>
  <si>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</si>
  <si>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</si>
  <si>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</si>
  <si>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</si>
  <si>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</si>
  <si>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</si>
  <si>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</si>
  <si>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</si>
  <si>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</si>
  <si>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</si>
  <si>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</si>
  <si>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</si>
  <si>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</si>
  <si>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</si>
  <si>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</si>
  <si>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</si>
  <si>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</si>
  <si>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</si>
  <si>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</si>
  <si>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</si>
  <si>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</si>
  <si>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</si>
  <si>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</si>
  <si>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</si>
  <si>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</si>
  <si>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</si>
  <si>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</si>
  <si>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</si>
  <si>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</si>
  <si>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</si>
  <si>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</si>
  <si>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</si>
  <si>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</si>
  <si>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</si>
  <si>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</si>
  <si>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</si>
  <si>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</si>
  <si>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</si>
  <si>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</si>
  <si>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</si>
  <si>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</si>
  <si>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</si>
  <si>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</si>
  <si>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</si>
  <si>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</si>
  <si>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</si>
  <si>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</si>
  <si>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</si>
  <si>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</si>
  <si>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</si>
  <si>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</si>
  <si>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</si>
  <si>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</si>
  <si>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</si>
  <si>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</si>
  <si>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</si>
  <si>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</si>
  <si>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</si>
  <si>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</si>
  <si>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</si>
  <si>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</si>
  <si>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</si>
  <si>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</si>
  <si>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</si>
  <si>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</si>
  <si>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</si>
  <si>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</si>
  <si>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</si>
  <si>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</si>
  <si>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</si>
  <si>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</si>
  <si>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</si>
  <si>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</si>
  <si>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</si>
  <si>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</si>
  <si>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</si>
  <si>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</si>
  <si>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</si>
  <si>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</si>
  <si>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</si>
  <si>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</si>
  <si>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</si>
  <si>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</si>
  <si>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</si>
  <si>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</si>
  <si>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</si>
  <si>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</si>
  <si>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</si>
  <si>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</si>
  <si>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</si>
  <si>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</si>
  <si>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</si>
  <si>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</si>
  <si>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</si>
  <si>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</si>
  <si>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</si>
  <si>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</si>
  <si>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</si>
  <si>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</si>
  <si>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</si>
  <si>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</si>
  <si>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</si>
  <si>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</si>
  <si>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</si>
  <si>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</si>
  <si>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</si>
  <si>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</si>
  <si>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</si>
  <si>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</si>
  <si>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</si>
  <si>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</si>
  <si>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</si>
  <si>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</si>
  <si>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</si>
  <si>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</si>
  <si>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</si>
  <si>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</si>
  <si>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</si>
  <si>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</si>
  <si>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</si>
  <si>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</si>
  <si>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</si>
  <si>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</si>
  <si>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</si>
  <si>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</si>
  <si>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</si>
  <si>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</si>
  <si>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</si>
  <si>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</si>
  <si>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</si>
  <si>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</si>
  <si>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</si>
  <si>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</si>
  <si>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</si>
  <si>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</si>
  <si>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</si>
  <si>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</si>
  <si>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</si>
  <si>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</si>
  <si>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</si>
  <si>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</si>
  <si>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</si>
  <si>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</si>
  <si>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</si>
  <si>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</si>
  <si>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</si>
  <si>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</si>
  <si>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</si>
  <si>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</si>
  <si>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</si>
  <si>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</si>
  <si>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</si>
  <si>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</si>
  <si>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</si>
  <si>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</si>
  <si>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</si>
  <si>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</si>
  <si>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</si>
  <si>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</si>
  <si>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</si>
  <si>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</si>
  <si>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</si>
  <si>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</si>
  <si>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</si>
  <si>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</si>
  <si>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</si>
  <si>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</si>
  <si>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</si>
  <si>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</si>
  <si>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</si>
  <si>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</si>
  <si>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</si>
  <si>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</si>
  <si>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</si>
  <si>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</si>
  <si>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</si>
  <si>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</si>
  <si>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</si>
  <si>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</si>
  <si>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</si>
  <si>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</si>
  <si>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</si>
  <si>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</si>
  <si>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</si>
  <si>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</si>
  <si>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</si>
  <si>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</si>
  <si>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</si>
  <si>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</si>
  <si>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</si>
  <si>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</si>
  <si>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</si>
  <si>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</si>
  <si>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</si>
  <si>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</si>
  <si>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</si>
  <si>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</si>
  <si>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</si>
  <si>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</si>
  <si>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</si>
  <si>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</si>
  <si>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</si>
  <si>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</si>
  <si>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</si>
  <si>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</si>
  <si>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</si>
  <si>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</si>
  <si>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</si>
  <si>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</si>
  <si>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</si>
  <si>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</si>
  <si>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</si>
  <si>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</si>
  <si>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</si>
  <si>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</si>
  <si>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</si>
  <si>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</si>
  <si>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</si>
  <si>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</si>
  <si>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</si>
  <si>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</si>
  <si>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</si>
  <si>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</si>
  <si>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</si>
  <si>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</si>
  <si>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</si>
  <si>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</si>
  <si>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</si>
  <si>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</si>
  <si>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</si>
  <si>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</si>
  <si>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</si>
  <si>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</si>
  <si>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</si>
  <si>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</si>
  <si>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</si>
  <si>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</si>
  <si>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</si>
  <si>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</si>
  <si>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</si>
  <si>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</si>
  <si>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</si>
  <si>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</si>
  <si>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</si>
  <si>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</si>
  <si>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</si>
  <si>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</si>
  <si>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</si>
  <si>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</si>
  <si>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</si>
  <si>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</si>
  <si>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</si>
  <si>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</si>
  <si>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</si>
  <si>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</si>
  <si>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</si>
  <si>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</si>
  <si>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</si>
  <si>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</si>
  <si>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</si>
  <si>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</si>
  <si>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</si>
  <si>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</si>
  <si>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</si>
  <si>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</si>
  <si>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</si>
  <si>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</si>
  <si>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</si>
  <si>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</si>
  <si>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</si>
  <si>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</si>
  <si>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</si>
  <si>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</si>
  <si>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</si>
  <si>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</si>
  <si>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</si>
  <si>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</si>
  <si>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</si>
  <si>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</si>
  <si>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</si>
  <si>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</si>
  <si>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</si>
  <si>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</si>
  <si>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</si>
  <si>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</si>
  <si>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</si>
  <si>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</si>
  <si>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</si>
  <si>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</si>
  <si>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</si>
  <si>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</si>
  <si>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</si>
  <si>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</si>
  <si>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</si>
  <si>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</si>
  <si>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</si>
  <si>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</si>
  <si>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</si>
  <si>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</si>
  <si>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</si>
  <si>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</si>
  <si>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</si>
  <si>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</si>
  <si>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</si>
  <si>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</si>
  <si>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</si>
  <si>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</si>
  <si>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</si>
  <si>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</si>
  <si>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</si>
  <si>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</si>
  <si>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</si>
  <si>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</si>
  <si>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</si>
  <si>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</si>
  <si>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</si>
  <si>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</si>
  <si>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</si>
  <si>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</si>
  <si>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</si>
  <si>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</si>
  <si>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</si>
  <si>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</si>
  <si>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</si>
  <si>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</si>
  <si>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</si>
  <si>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</si>
  <si>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</si>
  <si>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</si>
  <si>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</si>
  <si>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</si>
  <si>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</si>
  <si>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</si>
  <si>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</si>
  <si>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</si>
  <si>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</si>
  <si>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</si>
  <si>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</si>
  <si>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</si>
  <si>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</si>
  <si>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</si>
  <si>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</si>
  <si>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</si>
  <si>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</si>
  <si>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</si>
  <si>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</si>
  <si>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</si>
  <si>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</si>
  <si>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</si>
  <si>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</si>
  <si>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</si>
  <si>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</si>
  <si>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</si>
  <si>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</si>
  <si>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</si>
  <si>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</si>
  <si>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</si>
  <si>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</si>
  <si>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</si>
  <si>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</si>
  <si>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</si>
  <si>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</si>
  <si>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</si>
  <si>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</si>
  <si>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</si>
  <si>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</si>
  <si>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</si>
  <si>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</si>
  <si>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</si>
  <si>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</si>
  <si>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</si>
  <si>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</si>
  <si>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</si>
  <si>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</si>
  <si>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</si>
  <si>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</si>
  <si>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</si>
  <si>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</si>
  <si>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</si>
  <si>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</si>
  <si>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</si>
  <si>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</si>
  <si>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</si>
  <si>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</si>
  <si>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</si>
  <si>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</si>
  <si>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</si>
  <si>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</si>
  <si>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</si>
  <si>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</si>
  <si>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</si>
  <si>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</si>
  <si>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</si>
  <si>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</si>
  <si>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</si>
  <si>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</si>
  <si>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</si>
  <si>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</si>
  <si>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</si>
  <si>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</si>
  <si>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</si>
  <si>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</si>
  <si>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</si>
  <si>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</si>
  <si>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</si>
  <si>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</si>
  <si>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</si>
  <si>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</si>
  <si>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</si>
  <si>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</si>
  <si>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</si>
  <si>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</si>
  <si>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</si>
  <si>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</si>
  <si>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</si>
  <si>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</si>
  <si>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</si>
  <si>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</si>
  <si>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</si>
  <si>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</si>
  <si>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</si>
  <si>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</si>
  <si>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</si>
  <si>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</si>
  <si>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</si>
  <si>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</si>
  <si>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</si>
  <si>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</si>
  <si>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</si>
  <si>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</si>
  <si>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</si>
  <si>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</si>
  <si>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</si>
  <si>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</si>
  <si>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</si>
  <si>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</si>
  <si>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</si>
  <si>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</si>
  <si>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</si>
  <si>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</si>
  <si>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</si>
  <si>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</si>
  <si>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</si>
  <si>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</si>
  <si>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</si>
  <si>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</si>
  <si>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</si>
  <si>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</si>
  <si>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</si>
  <si>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</si>
  <si>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</si>
  <si>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</si>
  <si>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</si>
  <si>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</si>
  <si>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</si>
  <si>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</si>
  <si>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</si>
  <si>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</si>
  <si>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</si>
  <si>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</si>
  <si>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</si>
  <si>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</si>
  <si>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</si>
  <si>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</si>
  <si>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</si>
  <si>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</si>
  <si>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</si>
  <si>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</si>
  <si>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</si>
  <si>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</si>
  <si>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</si>
  <si>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</si>
  <si>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</si>
  <si>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</si>
  <si>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</si>
  <si>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</si>
  <si>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</si>
  <si>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</si>
  <si>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</si>
  <si>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</si>
  <si>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</si>
  <si>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</si>
  <si>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</si>
  <si>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</si>
  <si>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</si>
  <si>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</si>
  <si>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</si>
  <si>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</si>
  <si>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</si>
  <si>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</si>
  <si>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</si>
  <si>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</si>
  <si>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</si>
  <si>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</si>
  <si>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</si>
  <si>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</si>
  <si>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</si>
  <si>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</si>
  <si>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</si>
  <si>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</si>
  <si>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</si>
  <si>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</si>
  <si>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</si>
  <si>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</si>
  <si>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</si>
  <si>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</si>
  <si>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</si>
  <si>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</si>
  <si>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</si>
  <si>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</si>
  <si>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</si>
  <si>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</si>
  <si>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</si>
  <si>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</si>
  <si>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</si>
  <si>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</si>
  <si>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</si>
  <si>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</si>
  <si>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</si>
  <si>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</si>
  <si>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</si>
  <si>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</si>
  <si>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</si>
  <si>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</si>
  <si>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</si>
  <si>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</si>
  <si>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</si>
  <si>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</si>
  <si>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</si>
  <si>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</si>
  <si>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</si>
  <si>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</si>
  <si>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</si>
  <si>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</si>
  <si>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</si>
  <si>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</si>
  <si>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</si>
  <si>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</si>
  <si>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</si>
  <si>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</si>
  <si>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</si>
  <si>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</si>
  <si>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</si>
  <si>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</si>
  <si>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</si>
  <si>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</si>
  <si>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</si>
  <si>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</si>
  <si>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</si>
  <si>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</si>
  <si>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</si>
  <si>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</si>
  <si>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</si>
  <si>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</si>
  <si>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</si>
  <si>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</si>
  <si>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</si>
  <si>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</si>
  <si>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</si>
  <si>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</si>
  <si>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</si>
  <si>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</si>
  <si>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</si>
  <si>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</si>
  <si>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</si>
  <si>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</si>
  <si>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</si>
  <si>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</si>
  <si>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</si>
  <si>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</si>
  <si>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</si>
  <si>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</si>
  <si>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</si>
  <si>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</si>
  <si>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</si>
  <si>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</si>
  <si>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</si>
  <si>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</si>
  <si>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</si>
  <si>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</si>
  <si>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</si>
  <si>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</si>
  <si>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</si>
  <si>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</si>
  <si>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</si>
  <si>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</si>
  <si>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</si>
  <si>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</si>
  <si>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</si>
  <si>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</si>
  <si>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</si>
  <si>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</si>
  <si>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</si>
  <si>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</si>
  <si>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</si>
  <si>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</si>
  <si>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</si>
  <si>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</si>
  <si>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</si>
  <si>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</si>
  <si>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</si>
  <si>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</si>
  <si>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</si>
  <si>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</si>
  <si>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</si>
  <si>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</si>
  <si>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</si>
  <si>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</si>
  <si>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</si>
  <si>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</si>
  <si>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</si>
  <si>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</si>
  <si>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</si>
  <si>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</si>
  <si>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</si>
  <si>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</si>
  <si>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</si>
  <si>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</si>
  <si>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</si>
  <si>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</si>
  <si>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</si>
  <si>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</si>
  <si>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</si>
  <si>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</si>
  <si>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</si>
  <si>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</si>
  <si>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</si>
  <si>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</si>
  <si>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</si>
  <si>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</si>
  <si>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</si>
  <si>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</si>
  <si>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</si>
  <si>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</si>
  <si>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</si>
  <si>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</si>
  <si>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</si>
  <si>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</si>
  <si>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</si>
  <si>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</si>
  <si>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</si>
  <si>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</si>
  <si>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</si>
  <si>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</si>
  <si>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</si>
  <si>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</si>
  <si>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</si>
  <si>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</si>
  <si>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</si>
  <si>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</si>
  <si>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</si>
  <si>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</si>
  <si>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</si>
  <si>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</si>
  <si>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</si>
  <si>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</si>
  <si>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</si>
  <si>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</si>
  <si>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</si>
  <si>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</si>
  <si>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</si>
  <si>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</si>
  <si>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</si>
  <si>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</si>
  <si>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</si>
  <si>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</si>
  <si>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</si>
  <si>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</si>
  <si>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</si>
  <si>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</si>
  <si>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</si>
  <si>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</si>
  <si>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</si>
  <si>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</si>
  <si>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</si>
  <si>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</si>
  <si>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</si>
  <si>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</si>
  <si>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</si>
  <si>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</si>
  <si>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</si>
  <si>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</si>
  <si>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</si>
  <si>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</si>
  <si>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</si>
  <si>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</si>
  <si>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</si>
  <si>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</si>
  <si>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</si>
  <si>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</si>
  <si>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</si>
  <si>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</si>
  <si>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</si>
  <si>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</si>
  <si>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</si>
  <si>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</si>
  <si>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</si>
  <si>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</si>
  <si>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</si>
  <si>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</si>
  <si>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</si>
  <si>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</si>
  <si>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</si>
  <si>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</si>
  <si>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</si>
  <si>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</si>
  <si>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</si>
  <si>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</si>
  <si>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</si>
  <si>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</si>
  <si>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</si>
  <si>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</si>
  <si>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</si>
  <si>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</si>
  <si>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</si>
  <si>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</si>
  <si>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</si>
  <si>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</si>
  <si>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</si>
  <si>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</si>
  <si>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</si>
  <si>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</si>
  <si>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</si>
  <si>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</si>
  <si>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</si>
  <si>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</si>
  <si>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</si>
  <si>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</si>
  <si>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</si>
  <si>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</si>
  <si>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</si>
  <si>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</si>
  <si>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</si>
  <si>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</si>
  <si>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</si>
  <si>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</si>
  <si>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</si>
  <si>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</si>
  <si>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</si>
  <si>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</si>
  <si>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</si>
  <si>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</si>
  <si>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</si>
  <si>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</si>
  <si>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</si>
  <si>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</si>
  <si>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</si>
  <si>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</si>
  <si>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</si>
  <si>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</si>
  <si>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</si>
  <si>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</si>
  <si>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</si>
  <si>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</si>
  <si>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</si>
  <si>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</si>
  <si>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</si>
  <si>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</si>
  <si>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</si>
  <si>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</si>
  <si>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</si>
  <si>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</si>
  <si>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</si>
  <si>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</si>
  <si>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</si>
  <si>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</si>
  <si>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</si>
  <si>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</si>
  <si>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</si>
  <si>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</si>
  <si>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</si>
  <si>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</si>
  <si>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</si>
  <si>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</si>
  <si>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</si>
  <si>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</si>
  <si>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</si>
  <si>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</si>
  <si>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</si>
  <si>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</si>
  <si>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</si>
  <si>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</si>
  <si>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</si>
  <si>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</si>
  <si>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</si>
  <si>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</si>
  <si>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</si>
  <si>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</si>
  <si>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</si>
  <si>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</si>
  <si>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</si>
  <si>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</si>
  <si>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</si>
  <si>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</si>
  <si>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</si>
  <si>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Timberlane Regional School District</t>
  </si>
  <si>
    <t>07/1999</t>
  </si>
  <si>
    <t>08/2019</t>
  </si>
  <si>
    <t xml:space="preserve">        4.25 to 5.25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</si>
</sst>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0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39" fontId="0" fillId="0" borderId="0" xfId="0" applyNumberFormat="1" applyProtection="1">
      <protection locked="0"/>
    </xf>
    <xf numFmtId="40" fontId="2" fillId="0" borderId="0" xfId="0" quotePrefix="1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534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1270654.75+1831</f>
        <v>1272485.75</v>
      </c>
      <c r="G9" s="18">
        <f>344707.3+120</f>
        <v>344827.3</v>
      </c>
      <c r="H9" s="18">
        <f>43867.65+100</f>
        <v>43967.65</v>
      </c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504318.73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1234982.3799999999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f>656688.8-504318.73</f>
        <v>152370.07000000007</v>
      </c>
      <c r="G13" s="18">
        <v>19879.04</v>
      </c>
      <c r="H13" s="18">
        <v>771899.25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>
        <v>144435.26999999999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20520.03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4900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2664738.2000000002</v>
      </c>
      <c r="G19" s="41">
        <f>SUM(G9:G18)</f>
        <v>529661.64</v>
      </c>
      <c r="H19" s="41">
        <f>SUM(H9:H18)</f>
        <v>815866.9</v>
      </c>
      <c r="I19" s="41">
        <f>SUM(I9:I18)</f>
        <v>0</v>
      </c>
      <c r="J19" s="41">
        <f>SUM(J9:J18)</f>
        <v>504318.73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462777.36</v>
      </c>
      <c r="H22" s="18">
        <f>763301.49+8903.53</f>
        <v>772205.02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29073.07</v>
      </c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46309.41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157018.56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12395</v>
      </c>
      <c r="G30" s="18">
        <v>26100.53</v>
      </c>
      <c r="H30" s="18">
        <v>8597.76</v>
      </c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244796.04</v>
      </c>
      <c r="G32" s="41">
        <f>SUM(G22:G31)</f>
        <v>488877.89</v>
      </c>
      <c r="H32" s="41">
        <f>SUM(H22:H31)</f>
        <v>780802.78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20520.03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4900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200000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>
        <v>226583.41</v>
      </c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v>20263.72</v>
      </c>
      <c r="H47" s="18">
        <v>35064.120000000003</v>
      </c>
      <c r="I47" s="18"/>
      <c r="J47" s="13">
        <f>SUM(I458)</f>
        <v>504318.73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1988458.75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2419942.16</v>
      </c>
      <c r="G50" s="41">
        <f>SUM(G35:G49)</f>
        <v>40783.75</v>
      </c>
      <c r="H50" s="41">
        <f>SUM(H35:H49)</f>
        <v>35064.120000000003</v>
      </c>
      <c r="I50" s="41">
        <f>SUM(I35:I49)</f>
        <v>0</v>
      </c>
      <c r="J50" s="41">
        <f>SUM(J35:J49)</f>
        <v>504318.73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2664738.2000000002</v>
      </c>
      <c r="G51" s="41">
        <f>G50+G32</f>
        <v>529661.64</v>
      </c>
      <c r="H51" s="41">
        <f>H50+H32</f>
        <v>815866.9</v>
      </c>
      <c r="I51" s="41">
        <f>I50+I32</f>
        <v>0</v>
      </c>
      <c r="J51" s="41">
        <f>J50+J32</f>
        <v>504318.73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36578994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>
        <f>20000+100000+170000</f>
        <v>290000</v>
      </c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36868994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f>22757.38+13608+49800+37650</f>
        <v>123815.38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3525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>
        <v>121296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>
        <v>13585</v>
      </c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19244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281465.38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f>4879.37-367.44</f>
        <v>4511.93</v>
      </c>
      <c r="G95" s="18">
        <v>353.05</v>
      </c>
      <c r="H95" s="18">
        <v>21.59</v>
      </c>
      <c r="I95" s="18"/>
      <c r="J95" s="18">
        <v>367.44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719493+53007+229455.13+55542+6204+20682</f>
        <v>1084383.1299999999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f>2255+166700.58</f>
        <v>168955.58</v>
      </c>
      <c r="G100" s="18"/>
      <c r="H100" s="18">
        <v>47915</v>
      </c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71832.25</f>
        <v>71832.25</v>
      </c>
      <c r="G109" s="18"/>
      <c r="H109" s="18">
        <f>25956.76+9953.28+540</f>
        <v>36450.04</v>
      </c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245299.75999999998</v>
      </c>
      <c r="G110" s="41">
        <f>SUM(G95:G109)</f>
        <v>1084736.18</v>
      </c>
      <c r="H110" s="41">
        <f>SUM(H95:H109)</f>
        <v>84386.63</v>
      </c>
      <c r="I110" s="41">
        <f>SUM(I95:I109)</f>
        <v>0</v>
      </c>
      <c r="J110" s="41">
        <f>SUM(J95:J109)</f>
        <v>367.44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37395759.140000001</v>
      </c>
      <c r="G111" s="41">
        <f>G59+G110</f>
        <v>1084736.18</v>
      </c>
      <c r="H111" s="41">
        <f>H59+H78+H93+H110</f>
        <v>84386.63</v>
      </c>
      <c r="I111" s="41">
        <f>I59+I110</f>
        <v>0</v>
      </c>
      <c r="J111" s="41">
        <f>J59+J110</f>
        <v>367.44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11610325.43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6363292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10059.57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55090.74</v>
      </c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18038767.739999998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1103810.6599999999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563437.52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11771.03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18826.57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1679019.21</v>
      </c>
      <c r="G135" s="41">
        <f>SUM(G122:G134)</f>
        <v>18826.57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19717786.949999999</v>
      </c>
      <c r="G139" s="41">
        <f>G120+SUM(G135:G136)</f>
        <v>18826.57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12439.45+175052.78+576.58</f>
        <v>188068.81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31320.87+2485.82+93263.94+7333.4+17360.31</f>
        <v>151764.34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f>337133.77+99343.9</f>
        <v>436477.67000000004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f>155662.07+1314.63+860693.13+25652.62</f>
        <v>1043322.4500000001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512043.64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>
        <v>391467.93</v>
      </c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512043.64</v>
      </c>
      <c r="G161" s="41">
        <f>SUM(G149:G160)</f>
        <v>436477.67000000004</v>
      </c>
      <c r="H161" s="41">
        <f>SUM(H149:H160)</f>
        <v>1774623.53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512043.64</v>
      </c>
      <c r="G168" s="41">
        <f>G146+G161+SUM(G162:G167)</f>
        <v>436477.67000000004</v>
      </c>
      <c r="H168" s="41">
        <f>H146+H161+SUM(H162:H167)</f>
        <v>1774623.53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200000</v>
      </c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200000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200000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57625589.730000004</v>
      </c>
      <c r="G192" s="47">
        <f>G111+G139+G168+G191</f>
        <v>1540040.42</v>
      </c>
      <c r="H192" s="47">
        <f>H111+H139+H168+H191</f>
        <v>1859010.1600000001</v>
      </c>
      <c r="I192" s="47">
        <f>I111+I139+I168+I191</f>
        <v>0</v>
      </c>
      <c r="J192" s="47">
        <f>J111+J139+J191</f>
        <v>200367.44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7274671.3300000001</v>
      </c>
      <c r="G196" s="18">
        <v>3061371.22</v>
      </c>
      <c r="H196" s="18">
        <v>14576.18</v>
      </c>
      <c r="I196" s="18">
        <v>341592.21</v>
      </c>
      <c r="J196" s="18">
        <v>183132.26</v>
      </c>
      <c r="K196" s="18">
        <v>860.88</v>
      </c>
      <c r="L196" s="19">
        <f>SUM(F196:K196)</f>
        <v>10876204.080000002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1988734.27</v>
      </c>
      <c r="G197" s="18">
        <v>836911.19</v>
      </c>
      <c r="H197" s="18">
        <v>387669.25</v>
      </c>
      <c r="I197" s="18">
        <v>11478.43</v>
      </c>
      <c r="J197" s="18">
        <v>1025.33</v>
      </c>
      <c r="K197" s="18"/>
      <c r="L197" s="19">
        <f>SUM(F197:K197)</f>
        <v>3225818.47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66663.759999999995</v>
      </c>
      <c r="G199" s="18">
        <v>28053.85</v>
      </c>
      <c r="H199" s="18">
        <v>3476.79</v>
      </c>
      <c r="I199" s="18">
        <v>10172.200000000001</v>
      </c>
      <c r="J199" s="18"/>
      <c r="K199" s="18"/>
      <c r="L199" s="19">
        <f>SUM(F199:K199)</f>
        <v>108366.59999999998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1111129.1200000001</v>
      </c>
      <c r="G201" s="18">
        <v>467592.08</v>
      </c>
      <c r="H201" s="18">
        <v>62940.480000000003</v>
      </c>
      <c r="I201" s="18">
        <v>16330.15</v>
      </c>
      <c r="J201" s="18">
        <v>1726.11</v>
      </c>
      <c r="K201" s="18">
        <v>6045.4</v>
      </c>
      <c r="L201" s="19">
        <f t="shared" ref="L201:L207" si="0">SUM(F201:K201)</f>
        <v>1665763.34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227299.33</v>
      </c>
      <c r="G202" s="18">
        <v>161733.64000000001</v>
      </c>
      <c r="H202" s="18">
        <v>31234.47</v>
      </c>
      <c r="I202" s="18">
        <v>43967.86</v>
      </c>
      <c r="J202" s="18">
        <v>2398.84</v>
      </c>
      <c r="K202" s="18"/>
      <c r="L202" s="19">
        <f t="shared" si="0"/>
        <v>466634.13999999996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214557.29</v>
      </c>
      <c r="G203" s="18">
        <v>90291.3</v>
      </c>
      <c r="H203" s="18">
        <v>446634.54</v>
      </c>
      <c r="I203" s="18">
        <v>4264.5200000000004</v>
      </c>
      <c r="J203" s="18">
        <v>18073.64</v>
      </c>
      <c r="K203" s="18"/>
      <c r="L203" s="19">
        <f t="shared" si="0"/>
        <v>773821.29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988517.99</v>
      </c>
      <c r="G204" s="18">
        <v>415994.13</v>
      </c>
      <c r="H204" s="18">
        <v>96815.29</v>
      </c>
      <c r="I204" s="18">
        <v>23947.05</v>
      </c>
      <c r="J204" s="18">
        <v>19205.62</v>
      </c>
      <c r="K204" s="18">
        <v>6357</v>
      </c>
      <c r="L204" s="19">
        <f t="shared" si="0"/>
        <v>1550837.0800000003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>
        <v>19482.98</v>
      </c>
      <c r="I205" s="18"/>
      <c r="J205" s="18"/>
      <c r="K205" s="18"/>
      <c r="L205" s="19">
        <f t="shared" si="0"/>
        <v>19482.98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780514.34</v>
      </c>
      <c r="G206" s="18">
        <v>340192.83</v>
      </c>
      <c r="H206" s="18">
        <v>268105.11</v>
      </c>
      <c r="I206" s="18">
        <v>439972.76</v>
      </c>
      <c r="J206" s="18">
        <v>31142.54</v>
      </c>
      <c r="K206" s="18"/>
      <c r="L206" s="19">
        <f t="shared" si="0"/>
        <v>1859927.5799999998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925255.29</v>
      </c>
      <c r="I207" s="18"/>
      <c r="J207" s="18"/>
      <c r="K207" s="18"/>
      <c r="L207" s="19">
        <f t="shared" si="0"/>
        <v>925255.29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50458.99</v>
      </c>
      <c r="G208" s="18">
        <v>21234.46</v>
      </c>
      <c r="H208" s="18">
        <v>3958.18</v>
      </c>
      <c r="I208" s="18">
        <v>40503.57</v>
      </c>
      <c r="J208" s="18">
        <v>11184.08</v>
      </c>
      <c r="K208" s="18"/>
      <c r="L208" s="19">
        <f>SUM(F208:K208)</f>
        <v>127339.27999999998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12702546.42</v>
      </c>
      <c r="G210" s="41">
        <f t="shared" si="1"/>
        <v>5423374.6999999993</v>
      </c>
      <c r="H210" s="41">
        <f t="shared" si="1"/>
        <v>2260148.56</v>
      </c>
      <c r="I210" s="41">
        <f t="shared" si="1"/>
        <v>932228.75</v>
      </c>
      <c r="J210" s="41">
        <f t="shared" si="1"/>
        <v>267888.42</v>
      </c>
      <c r="K210" s="41">
        <f t="shared" si="1"/>
        <v>13263.279999999999</v>
      </c>
      <c r="L210" s="41">
        <f t="shared" si="1"/>
        <v>21599450.130000003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4503145.67</v>
      </c>
      <c r="G214" s="18">
        <v>1895041.02</v>
      </c>
      <c r="H214" s="18">
        <v>13287.85</v>
      </c>
      <c r="I214" s="18">
        <v>176539.68</v>
      </c>
      <c r="J214" s="18">
        <v>133444.32999999999</v>
      </c>
      <c r="K214" s="18">
        <v>1110</v>
      </c>
      <c r="L214" s="19">
        <f>SUM(F214:K214)</f>
        <v>6722568.5499999989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1731251.49</v>
      </c>
      <c r="G215" s="18">
        <v>728555.73</v>
      </c>
      <c r="H215" s="18">
        <v>377296.86</v>
      </c>
      <c r="I215" s="18">
        <v>8181.42</v>
      </c>
      <c r="J215" s="18">
        <v>664.27</v>
      </c>
      <c r="K215" s="18"/>
      <c r="L215" s="19">
        <f>SUM(F215:K215)</f>
        <v>2845949.7699999996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100631.74</v>
      </c>
      <c r="G217" s="18">
        <v>42348.46</v>
      </c>
      <c r="H217" s="18">
        <v>31539.14</v>
      </c>
      <c r="I217" s="18">
        <v>10500.81</v>
      </c>
      <c r="J217" s="18">
        <v>526.77</v>
      </c>
      <c r="K217" s="18">
        <v>1930.75</v>
      </c>
      <c r="L217" s="19">
        <f>SUM(F217:K217)</f>
        <v>187477.67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745504.18</v>
      </c>
      <c r="G219" s="18">
        <v>313727.58</v>
      </c>
      <c r="H219" s="18">
        <v>40976.699999999997</v>
      </c>
      <c r="I219" s="18">
        <v>8669.4599999999991</v>
      </c>
      <c r="J219" s="18">
        <v>707.07</v>
      </c>
      <c r="K219" s="18">
        <v>3916.58</v>
      </c>
      <c r="L219" s="19">
        <f t="shared" ref="L219:L225" si="2">SUM(F219:K219)</f>
        <v>1113501.57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105960.06</v>
      </c>
      <c r="G220" s="18">
        <v>87401.52</v>
      </c>
      <c r="H220" s="18">
        <v>20104.77</v>
      </c>
      <c r="I220" s="18">
        <v>32052.37</v>
      </c>
      <c r="J220" s="18">
        <v>8080.7</v>
      </c>
      <c r="K220" s="18"/>
      <c r="L220" s="19">
        <f t="shared" si="2"/>
        <v>253599.42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139003.34</v>
      </c>
      <c r="G221" s="18">
        <v>58496.23</v>
      </c>
      <c r="H221" s="18">
        <v>289357.17</v>
      </c>
      <c r="I221" s="18">
        <v>2762.82</v>
      </c>
      <c r="J221" s="18"/>
      <c r="K221" s="18">
        <v>11709.21</v>
      </c>
      <c r="L221" s="19">
        <f t="shared" si="2"/>
        <v>501328.77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485396.2</v>
      </c>
      <c r="G222" s="18">
        <v>204267.37</v>
      </c>
      <c r="H222" s="18">
        <v>25253.759999999998</v>
      </c>
      <c r="I222" s="18">
        <v>19309.939999999999</v>
      </c>
      <c r="J222" s="18">
        <v>24974.76</v>
      </c>
      <c r="K222" s="18">
        <v>75</v>
      </c>
      <c r="L222" s="19">
        <f t="shared" si="2"/>
        <v>759277.03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>
        <v>12622.27</v>
      </c>
      <c r="I223" s="18"/>
      <c r="J223" s="18"/>
      <c r="K223" s="18"/>
      <c r="L223" s="19">
        <f t="shared" si="2"/>
        <v>12622.27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251781.44</v>
      </c>
      <c r="G224" s="18">
        <v>113556.93</v>
      </c>
      <c r="H224" s="18">
        <v>173694.89</v>
      </c>
      <c r="I224" s="18">
        <v>186986.54</v>
      </c>
      <c r="J224" s="18">
        <v>20176.04</v>
      </c>
      <c r="K224" s="18"/>
      <c r="L224" s="19">
        <f t="shared" si="2"/>
        <v>746195.84000000008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616845.67000000004</v>
      </c>
      <c r="I225" s="18"/>
      <c r="J225" s="18"/>
      <c r="K225" s="18"/>
      <c r="L225" s="19">
        <f t="shared" si="2"/>
        <v>616845.67000000004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v>32690.42</v>
      </c>
      <c r="G226" s="18">
        <v>13756.98</v>
      </c>
      <c r="H226" s="18">
        <v>2564.35</v>
      </c>
      <c r="I226" s="18">
        <v>26240.69</v>
      </c>
      <c r="J226" s="18">
        <v>7245.73</v>
      </c>
      <c r="K226" s="18"/>
      <c r="L226" s="19">
        <f>SUM(F226:K226)</f>
        <v>82498.169999999984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8095364.54</v>
      </c>
      <c r="G228" s="41">
        <f>SUM(G214:G227)</f>
        <v>3457151.8200000003</v>
      </c>
      <c r="H228" s="41">
        <f>SUM(H214:H227)</f>
        <v>1603543.4300000002</v>
      </c>
      <c r="I228" s="41">
        <f>SUM(I214:I227)</f>
        <v>471243.73000000004</v>
      </c>
      <c r="J228" s="41">
        <f>SUM(J214:J227)</f>
        <v>195819.67</v>
      </c>
      <c r="K228" s="41">
        <f>SUM(K214:K227)</f>
        <v>18741.54</v>
      </c>
      <c r="L228" s="41">
        <f t="shared" si="3"/>
        <v>13841864.729999997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5503296.1500000004</v>
      </c>
      <c r="G232" s="18">
        <v>2315930.4</v>
      </c>
      <c r="H232" s="18">
        <v>29697.99</v>
      </c>
      <c r="I232" s="18">
        <f>276378.77</f>
        <v>276378.77</v>
      </c>
      <c r="J232" s="18">
        <v>189800.61</v>
      </c>
      <c r="K232" s="18">
        <v>3960</v>
      </c>
      <c r="L232" s="19">
        <f>SUM(F232:K232)</f>
        <v>8319063.9200000009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1908146.97</v>
      </c>
      <c r="G233" s="18">
        <v>802997.96</v>
      </c>
      <c r="H233" s="18">
        <v>1284286.79</v>
      </c>
      <c r="I233" s="18">
        <v>10899.13</v>
      </c>
      <c r="J233" s="18">
        <v>920.62</v>
      </c>
      <c r="K233" s="18"/>
      <c r="L233" s="19">
        <f>SUM(F233:K233)</f>
        <v>4007251.4699999997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v>47929.39</v>
      </c>
      <c r="I234" s="18"/>
      <c r="J234" s="18"/>
      <c r="K234" s="18"/>
      <c r="L234" s="19">
        <f>SUM(F234:K234)</f>
        <v>47929.39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417254.48</v>
      </c>
      <c r="G235" s="18">
        <v>175591.55</v>
      </c>
      <c r="H235" s="18">
        <v>109787.22</v>
      </c>
      <c r="I235" s="18">
        <v>55171.56</v>
      </c>
      <c r="J235" s="18">
        <v>24894.22</v>
      </c>
      <c r="K235" s="18">
        <v>53977.440000000002</v>
      </c>
      <c r="L235" s="19">
        <f>SUM(F235:K235)</f>
        <v>836676.47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1064905.1892684735</v>
      </c>
      <c r="G237" s="18">
        <v>448139.85</v>
      </c>
      <c r="H237" s="18">
        <v>61764.820627251778</v>
      </c>
      <c r="I237" s="18">
        <v>13066.601392876035</v>
      </c>
      <c r="J237" s="18">
        <v>1539.9199984956786</v>
      </c>
      <c r="K237" s="18">
        <v>5428.0241493690619</v>
      </c>
      <c r="L237" s="19">
        <f t="shared" ref="L237:L243" si="4">SUM(F237:K237)</f>
        <v>1594844.4054364662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89038.099296955494</v>
      </c>
      <c r="G238" s="18">
        <v>96801.412676688778</v>
      </c>
      <c r="H238" s="18">
        <v>22554.894702407662</v>
      </c>
      <c r="I238" s="18">
        <v>42349.38</v>
      </c>
      <c r="J238" s="18">
        <v>962.69</v>
      </c>
      <c r="K238" s="18">
        <v>0</v>
      </c>
      <c r="L238" s="19">
        <f t="shared" si="4"/>
        <v>251706.47667605191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192646.08267884495</v>
      </c>
      <c r="G239" s="18">
        <v>81070.490000000005</v>
      </c>
      <c r="H239" s="18">
        <v>401022.93204068678</v>
      </c>
      <c r="I239" s="18">
        <v>3829.0178202887791</v>
      </c>
      <c r="J239" s="18">
        <v>0</v>
      </c>
      <c r="K239" s="18">
        <v>16227.912325605299</v>
      </c>
      <c r="L239" s="19">
        <f t="shared" si="4"/>
        <v>694796.43486542581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620765.40211452404</v>
      </c>
      <c r="G240" s="18">
        <v>261234.25</v>
      </c>
      <c r="H240" s="18">
        <v>39937.890332555267</v>
      </c>
      <c r="I240" s="18">
        <v>49037.920287550995</v>
      </c>
      <c r="J240" s="18">
        <v>15118.694356238293</v>
      </c>
      <c r="K240" s="18">
        <v>14171.17</v>
      </c>
      <c r="L240" s="19">
        <f t="shared" si="4"/>
        <v>1000265.3270908686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0</v>
      </c>
      <c r="G241" s="18">
        <v>0</v>
      </c>
      <c r="H241" s="18">
        <v>17493.322659790247</v>
      </c>
      <c r="I241" s="18">
        <v>0</v>
      </c>
      <c r="J241" s="18">
        <v>0</v>
      </c>
      <c r="K241" s="18">
        <v>0</v>
      </c>
      <c r="L241" s="19">
        <f t="shared" si="4"/>
        <v>17493.322659790247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377379.19479848363</v>
      </c>
      <c r="G242" s="18">
        <v>169344.94673574844</v>
      </c>
      <c r="H242" s="18">
        <v>299593.45672897896</v>
      </c>
      <c r="I242" s="18">
        <v>284019.68361455784</v>
      </c>
      <c r="J242" s="18">
        <v>27962.175429521296</v>
      </c>
      <c r="K242" s="18">
        <v>0</v>
      </c>
      <c r="L242" s="19">
        <f t="shared" si="4"/>
        <v>1158299.4573072903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0</v>
      </c>
      <c r="G243" s="18">
        <v>0</v>
      </c>
      <c r="H243" s="18">
        <v>946262.77529598761</v>
      </c>
      <c r="I243" s="18">
        <v>0</v>
      </c>
      <c r="J243" s="18">
        <v>0</v>
      </c>
      <c r="K243" s="18">
        <v>0</v>
      </c>
      <c r="L243" s="19">
        <f t="shared" si="4"/>
        <v>946262.77529598761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v>45305.968192081746</v>
      </c>
      <c r="G244" s="18">
        <v>19065.93</v>
      </c>
      <c r="H244" s="18">
        <v>3553.9626602415433</v>
      </c>
      <c r="I244" s="18">
        <v>36367.230000000003</v>
      </c>
      <c r="J244" s="18">
        <v>10041.932850864107</v>
      </c>
      <c r="K244" s="18">
        <v>0</v>
      </c>
      <c r="L244" s="19">
        <f>SUM(F244:K244)</f>
        <v>114335.02370318738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10218737.536349364</v>
      </c>
      <c r="G246" s="41">
        <f t="shared" si="5"/>
        <v>4370176.789412437</v>
      </c>
      <c r="H246" s="41">
        <f t="shared" si="5"/>
        <v>3263885.4450478996</v>
      </c>
      <c r="I246" s="41">
        <f t="shared" si="5"/>
        <v>771119.29311527358</v>
      </c>
      <c r="J246" s="41">
        <f t="shared" si="5"/>
        <v>271240.86263511935</v>
      </c>
      <c r="K246" s="41">
        <f t="shared" si="5"/>
        <v>93764.546474974355</v>
      </c>
      <c r="L246" s="41">
        <f t="shared" si="5"/>
        <v>18988924.473035071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>
        <v>132201.38</v>
      </c>
      <c r="G250" s="18">
        <v>55633.78</v>
      </c>
      <c r="H250" s="18">
        <v>0</v>
      </c>
      <c r="I250" s="18">
        <v>31398.31</v>
      </c>
      <c r="J250" s="18"/>
      <c r="K250" s="18"/>
      <c r="L250" s="19">
        <f t="shared" si="6"/>
        <v>219233.47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>
        <f>74104+277412.94+278811.22</f>
        <v>630328.15999999992</v>
      </c>
      <c r="H254" s="18"/>
      <c r="I254" s="18"/>
      <c r="J254" s="18"/>
      <c r="K254" s="18"/>
      <c r="L254" s="19">
        <f t="shared" si="6"/>
        <v>630328.15999999992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132201.38</v>
      </c>
      <c r="G255" s="41">
        <f t="shared" si="7"/>
        <v>685961.94</v>
      </c>
      <c r="H255" s="41">
        <f t="shared" si="7"/>
        <v>0</v>
      </c>
      <c r="I255" s="41">
        <f t="shared" si="7"/>
        <v>31398.31</v>
      </c>
      <c r="J255" s="41">
        <f t="shared" si="7"/>
        <v>0</v>
      </c>
      <c r="K255" s="41">
        <f t="shared" si="7"/>
        <v>0</v>
      </c>
      <c r="L255" s="41">
        <f>SUM(F255:K255)</f>
        <v>849561.63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31148849.876349363</v>
      </c>
      <c r="G256" s="41">
        <f t="shared" si="8"/>
        <v>13936665.249412436</v>
      </c>
      <c r="H256" s="41">
        <f t="shared" si="8"/>
        <v>7127577.4350479003</v>
      </c>
      <c r="I256" s="41">
        <f t="shared" si="8"/>
        <v>2205990.0831152736</v>
      </c>
      <c r="J256" s="41">
        <f t="shared" si="8"/>
        <v>734948.95263511932</v>
      </c>
      <c r="K256" s="41">
        <f t="shared" si="8"/>
        <v>125769.36647497435</v>
      </c>
      <c r="L256" s="41">
        <f t="shared" si="8"/>
        <v>55279800.963035069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1600000</v>
      </c>
      <c r="L259" s="19">
        <f>SUM(F259:K259)</f>
        <v>1600000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714000</v>
      </c>
      <c r="L260" s="19">
        <f>SUM(F260:K260)</f>
        <v>714000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200000</v>
      </c>
      <c r="L265" s="19">
        <f t="shared" si="9"/>
        <v>200000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2514000</v>
      </c>
      <c r="L269" s="41">
        <f t="shared" si="9"/>
        <v>2514000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31148849.876349363</v>
      </c>
      <c r="G270" s="42">
        <f t="shared" si="11"/>
        <v>13936665.249412436</v>
      </c>
      <c r="H270" s="42">
        <f t="shared" si="11"/>
        <v>7127577.4350479003</v>
      </c>
      <c r="I270" s="42">
        <f t="shared" si="11"/>
        <v>2205990.0831152736</v>
      </c>
      <c r="J270" s="42">
        <f t="shared" si="11"/>
        <v>734948.95263511932</v>
      </c>
      <c r="K270" s="42">
        <f t="shared" si="11"/>
        <v>2639769.3664749744</v>
      </c>
      <c r="L270" s="42">
        <f t="shared" si="11"/>
        <v>57793800.963035069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271">
        <v>144246.50099450673</v>
      </c>
      <c r="G275" s="271">
        <v>4433.0715644689371</v>
      </c>
      <c r="H275" s="271">
        <v>24280.28850182148</v>
      </c>
      <c r="I275" s="271">
        <v>2898.6718880985632</v>
      </c>
      <c r="J275" s="271">
        <v>0</v>
      </c>
      <c r="K275" s="271"/>
      <c r="L275" s="19">
        <f>SUM(F275:K275)</f>
        <v>175858.53294889571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271">
        <v>340688.76806767442</v>
      </c>
      <c r="G276" s="271">
        <v>7133.0977382531319</v>
      </c>
      <c r="H276" s="271">
        <v>72788.448491190939</v>
      </c>
      <c r="I276" s="271">
        <v>5602.0762567475067</v>
      </c>
      <c r="J276" s="271">
        <v>22868.53301157575</v>
      </c>
      <c r="K276" s="271"/>
      <c r="L276" s="19">
        <f>SUM(F276:K276)</f>
        <v>449080.92356544174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271">
        <v>0</v>
      </c>
      <c r="G277" s="271">
        <v>0</v>
      </c>
      <c r="H277" s="271">
        <v>0</v>
      </c>
      <c r="I277" s="271">
        <v>0</v>
      </c>
      <c r="J277" s="271">
        <v>0</v>
      </c>
      <c r="K277" s="271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271">
        <v>913.57387916790969</v>
      </c>
      <c r="G278" s="271">
        <v>0</v>
      </c>
      <c r="H278" s="271">
        <v>0</v>
      </c>
      <c r="I278" s="271">
        <v>0</v>
      </c>
      <c r="J278" s="271">
        <v>0</v>
      </c>
      <c r="K278" s="271"/>
      <c r="L278" s="19">
        <f>SUM(F278:K278)</f>
        <v>913.57387916790969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4006.93192294867</v>
      </c>
      <c r="G280" s="18">
        <v>0</v>
      </c>
      <c r="H280" s="18">
        <v>3586.6019909690581</v>
      </c>
      <c r="I280" s="18">
        <v>0</v>
      </c>
      <c r="J280" s="18">
        <v>0</v>
      </c>
      <c r="K280" s="18">
        <v>0</v>
      </c>
      <c r="L280" s="19">
        <f t="shared" ref="L280:L286" si="12">SUM(F280:K280)</f>
        <v>7593.5339139177286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f>6903.75+3272.95</f>
        <v>10176.700000000001</v>
      </c>
      <c r="G281" s="18">
        <v>0</v>
      </c>
      <c r="H281" s="18">
        <v>12833.805500650617</v>
      </c>
      <c r="I281" s="18">
        <v>6822.7201928539725</v>
      </c>
      <c r="J281" s="18">
        <v>8097.1402774469661</v>
      </c>
      <c r="K281" s="18">
        <v>227.01469491113218</v>
      </c>
      <c r="L281" s="19">
        <f t="shared" si="12"/>
        <v>38157.380665862685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v>0</v>
      </c>
      <c r="G282" s="18">
        <v>0</v>
      </c>
      <c r="H282" s="18">
        <v>0</v>
      </c>
      <c r="I282" s="18">
        <v>0</v>
      </c>
      <c r="J282" s="18">
        <v>0</v>
      </c>
      <c r="K282" s="18">
        <v>0</v>
      </c>
      <c r="L282" s="19">
        <f t="shared" si="12"/>
        <v>0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>
        <v>15454.251616568594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15454.251616568594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>
        <v>10037.634329762241</v>
      </c>
      <c r="G285" s="18">
        <v>0</v>
      </c>
      <c r="H285" s="18">
        <v>0</v>
      </c>
      <c r="I285" s="18">
        <v>0</v>
      </c>
      <c r="J285" s="18">
        <v>3909.7813236521911</v>
      </c>
      <c r="K285" s="18">
        <v>0</v>
      </c>
      <c r="L285" s="19">
        <f t="shared" si="12"/>
        <v>13947.415653414431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525524.36081062851</v>
      </c>
      <c r="G289" s="42">
        <f t="shared" si="13"/>
        <v>11566.169302722068</v>
      </c>
      <c r="H289" s="42">
        <f t="shared" si="13"/>
        <v>113489.1444846321</v>
      </c>
      <c r="I289" s="42">
        <f t="shared" si="13"/>
        <v>15323.468337700042</v>
      </c>
      <c r="J289" s="42">
        <f t="shared" si="13"/>
        <v>34875.454612674905</v>
      </c>
      <c r="K289" s="42">
        <f t="shared" si="13"/>
        <v>227.01469491113218</v>
      </c>
      <c r="L289" s="41">
        <f t="shared" si="13"/>
        <v>701005.61224326876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93451.70602936935</v>
      </c>
      <c r="G294" s="18">
        <v>2872.0149036106213</v>
      </c>
      <c r="H294" s="18">
        <v>15730.255969723026</v>
      </c>
      <c r="I294" s="18">
        <v>1877.9369433196855</v>
      </c>
      <c r="J294" s="18">
        <v>0</v>
      </c>
      <c r="K294" s="18"/>
      <c r="L294" s="19">
        <f>SUM(F294:K294)</f>
        <v>113931.91384602268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220719.02182348794</v>
      </c>
      <c r="G295" s="18">
        <v>4621.2570032418116</v>
      </c>
      <c r="H295" s="18">
        <v>47156.808961291303</v>
      </c>
      <c r="I295" s="18">
        <v>3629.3676442079868</v>
      </c>
      <c r="J295" s="18">
        <v>14815.634414605951</v>
      </c>
      <c r="K295" s="18"/>
      <c r="L295" s="19">
        <f>SUM(F295:K295)</f>
        <v>290942.08984683501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>
        <v>591.86903670794345</v>
      </c>
      <c r="G297" s="18">
        <v>0</v>
      </c>
      <c r="H297" s="18">
        <v>0</v>
      </c>
      <c r="I297" s="18">
        <v>0</v>
      </c>
      <c r="J297" s="18">
        <v>0</v>
      </c>
      <c r="K297" s="18"/>
      <c r="L297" s="19">
        <f>SUM(F297:K297)</f>
        <v>591.86903670794345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2595.9355794519756</v>
      </c>
      <c r="G299" s="18">
        <v>0</v>
      </c>
      <c r="H299" s="18">
        <v>2323.6201404785238</v>
      </c>
      <c r="I299" s="18">
        <v>0</v>
      </c>
      <c r="J299" s="18">
        <v>0</v>
      </c>
      <c r="K299" s="18">
        <v>0</v>
      </c>
      <c r="L299" s="19">
        <f t="shared" ref="L299:L305" si="14">SUM(F299:K299)</f>
        <v>4919.5557199304994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f>4472.67+2120.42</f>
        <v>6593.09</v>
      </c>
      <c r="G300" s="18">
        <v>0</v>
      </c>
      <c r="H300" s="18">
        <v>8314.5241695018922</v>
      </c>
      <c r="I300" s="18">
        <v>4420.1754454169595</v>
      </c>
      <c r="J300" s="18">
        <v>5245.8227247769209</v>
      </c>
      <c r="K300" s="18">
        <v>147.07400447786262</v>
      </c>
      <c r="L300" s="19">
        <f t="shared" si="14"/>
        <v>24720.686344173635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>
        <v>10012.209440217022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10012.209440217022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>
        <v>6502.9934601392488</v>
      </c>
      <c r="G304" s="18">
        <v>0</v>
      </c>
      <c r="H304" s="18">
        <v>0</v>
      </c>
      <c r="I304" s="18">
        <v>0</v>
      </c>
      <c r="J304" s="18">
        <v>2532.9954791137538</v>
      </c>
      <c r="K304" s="18">
        <v>0</v>
      </c>
      <c r="L304" s="19">
        <f t="shared" si="14"/>
        <v>9035.9889392530022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340466.82536937355</v>
      </c>
      <c r="G308" s="42">
        <f t="shared" si="15"/>
        <v>7493.2719068524329</v>
      </c>
      <c r="H308" s="42">
        <f t="shared" si="15"/>
        <v>73525.209240994736</v>
      </c>
      <c r="I308" s="42">
        <f t="shared" si="15"/>
        <v>9927.4800329446316</v>
      </c>
      <c r="J308" s="42">
        <f t="shared" si="15"/>
        <v>22594.452618496627</v>
      </c>
      <c r="K308" s="42">
        <f t="shared" si="15"/>
        <v>147.07400447786262</v>
      </c>
      <c r="L308" s="41">
        <f t="shared" si="15"/>
        <v>454154.31317313982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129515.63297612392</v>
      </c>
      <c r="G313" s="18">
        <v>3980.3535319204411</v>
      </c>
      <c r="H313" s="18">
        <v>21800.715528455486</v>
      </c>
      <c r="I313" s="18">
        <v>2602.6511685817509</v>
      </c>
      <c r="J313" s="18">
        <v>0</v>
      </c>
      <c r="K313" s="18"/>
      <c r="L313" s="19">
        <f>SUM(F313:K313)</f>
        <v>157899.35320508157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305896.65010883764</v>
      </c>
      <c r="G314" s="18">
        <v>6404.6452585050547</v>
      </c>
      <c r="H314" s="18">
        <v>65355.082547517741</v>
      </c>
      <c r="I314" s="18">
        <v>5029.9760990445047</v>
      </c>
      <c r="J314" s="18">
        <v>20533.13257381829</v>
      </c>
      <c r="K314" s="18"/>
      <c r="L314" s="19">
        <f>SUM(F314:K314)</f>
        <v>403219.48658772319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v>820.27708412414643</v>
      </c>
      <c r="G316" s="18">
        <v>0</v>
      </c>
      <c r="H316" s="18">
        <v>0</v>
      </c>
      <c r="I316" s="18">
        <v>0</v>
      </c>
      <c r="J316" s="18">
        <v>540</v>
      </c>
      <c r="K316" s="18"/>
      <c r="L316" s="19">
        <f>SUM(F316:K316)</f>
        <v>1360.2770841241463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3597.7324975993538</v>
      </c>
      <c r="G318" s="18">
        <v>0</v>
      </c>
      <c r="H318" s="18">
        <v>3220.3278685524165</v>
      </c>
      <c r="I318" s="18">
        <v>0</v>
      </c>
      <c r="J318" s="18">
        <v>0</v>
      </c>
      <c r="K318" s="18">
        <v>0</v>
      </c>
      <c r="L318" s="19">
        <f t="shared" ref="L318:L324" si="16">SUM(F318:K318)</f>
        <v>6818.0603661517707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f>6198.72+2938.71</f>
        <v>9137.43</v>
      </c>
      <c r="G319" s="18">
        <v>0</v>
      </c>
      <c r="H319" s="18">
        <v>11523.180329847486</v>
      </c>
      <c r="I319" s="18">
        <v>6125.9643617290667</v>
      </c>
      <c r="J319" s="18">
        <v>7270.2369977761118</v>
      </c>
      <c r="K319" s="18">
        <v>203.83130061100508</v>
      </c>
      <c r="L319" s="19">
        <f t="shared" si="16"/>
        <v>34260.642989963664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>
        <v>0</v>
      </c>
      <c r="G320" s="18">
        <v>0</v>
      </c>
      <c r="H320" s="18">
        <v>0</v>
      </c>
      <c r="I320" s="18">
        <v>0</v>
      </c>
      <c r="J320" s="18">
        <v>0</v>
      </c>
      <c r="K320" s="18">
        <v>0</v>
      </c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>
        <v>13876.018943214383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13876.018943214383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>
        <v>9012.5622100985074</v>
      </c>
      <c r="G323" s="18">
        <v>0</v>
      </c>
      <c r="H323" s="18">
        <v>0</v>
      </c>
      <c r="I323" s="18">
        <v>0</v>
      </c>
      <c r="J323" s="18">
        <v>3510.5031972340548</v>
      </c>
      <c r="K323" s="18">
        <v>0</v>
      </c>
      <c r="L323" s="19">
        <f t="shared" si="16"/>
        <v>12523.065407332562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471856.30381999793</v>
      </c>
      <c r="G327" s="42">
        <f t="shared" si="17"/>
        <v>10384.998790425496</v>
      </c>
      <c r="H327" s="42">
        <f t="shared" si="17"/>
        <v>101899.30627437313</v>
      </c>
      <c r="I327" s="42">
        <f t="shared" si="17"/>
        <v>13758.591629355324</v>
      </c>
      <c r="J327" s="42">
        <f t="shared" si="17"/>
        <v>31853.872768828456</v>
      </c>
      <c r="K327" s="42">
        <f t="shared" si="17"/>
        <v>203.83130061100508</v>
      </c>
      <c r="L327" s="41">
        <f t="shared" si="17"/>
        <v>629956.90458359139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>
        <f>8241.65+3666.36</f>
        <v>11908.01</v>
      </c>
      <c r="G334" s="18">
        <f>634.88+901.33+358.11+45.2</f>
        <v>1939.5200000000002</v>
      </c>
      <c r="H334" s="18">
        <f>41475.59+1619.97+5000+8581.36</f>
        <v>56676.92</v>
      </c>
      <c r="I334" s="18">
        <v>2857.12</v>
      </c>
      <c r="J334" s="18">
        <v>433.25</v>
      </c>
      <c r="K334" s="18"/>
      <c r="L334" s="19">
        <f t="shared" si="18"/>
        <v>73814.819999999992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11908.01</v>
      </c>
      <c r="G336" s="41">
        <f t="shared" si="19"/>
        <v>1939.5200000000002</v>
      </c>
      <c r="H336" s="41">
        <f t="shared" si="19"/>
        <v>56676.92</v>
      </c>
      <c r="I336" s="41">
        <f t="shared" si="19"/>
        <v>2857.12</v>
      </c>
      <c r="J336" s="41">
        <f t="shared" si="19"/>
        <v>433.25</v>
      </c>
      <c r="K336" s="41">
        <f t="shared" si="19"/>
        <v>0</v>
      </c>
      <c r="L336" s="41">
        <f t="shared" si="18"/>
        <v>73814.819999999992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1349755.5</v>
      </c>
      <c r="G337" s="41">
        <f t="shared" si="20"/>
        <v>31383.959999999995</v>
      </c>
      <c r="H337" s="41">
        <f t="shared" si="20"/>
        <v>345590.57999999996</v>
      </c>
      <c r="I337" s="41">
        <f t="shared" si="20"/>
        <v>41866.659999999996</v>
      </c>
      <c r="J337" s="41">
        <f t="shared" si="20"/>
        <v>89757.029999999984</v>
      </c>
      <c r="K337" s="41">
        <f t="shared" si="20"/>
        <v>577.91999999999985</v>
      </c>
      <c r="L337" s="41">
        <f t="shared" si="20"/>
        <v>1858931.6500000001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1349755.5</v>
      </c>
      <c r="G351" s="41">
        <f>G337</f>
        <v>31383.959999999995</v>
      </c>
      <c r="H351" s="41">
        <f>H337</f>
        <v>345590.57999999996</v>
      </c>
      <c r="I351" s="41">
        <f>I337</f>
        <v>41866.659999999996</v>
      </c>
      <c r="J351" s="41">
        <f>J337</f>
        <v>89757.029999999984</v>
      </c>
      <c r="K351" s="47">
        <f>K337+K350</f>
        <v>577.91999999999985</v>
      </c>
      <c r="L351" s="41">
        <f>L337+L350</f>
        <v>1858931.6500000001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222837.27357654861</v>
      </c>
      <c r="G357" s="18">
        <v>53958.13</v>
      </c>
      <c r="H357" s="18">
        <v>334143.92255117826</v>
      </c>
      <c r="I357" s="18">
        <v>45070.259408826852</v>
      </c>
      <c r="J357" s="18">
        <v>0</v>
      </c>
      <c r="K357" s="18">
        <v>8805.8934163384311</v>
      </c>
      <c r="L357" s="13">
        <f>SUM(F357:K357)</f>
        <v>664815.47895289212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92418.446131587989</v>
      </c>
      <c r="G358" s="18">
        <v>22378.33</v>
      </c>
      <c r="H358" s="18">
        <v>214041.22909424818</v>
      </c>
      <c r="I358" s="18">
        <v>24241.688085350168</v>
      </c>
      <c r="J358" s="18">
        <v>0</v>
      </c>
      <c r="K358" s="18">
        <v>5704.9963582891851</v>
      </c>
      <c r="L358" s="19">
        <f>SUM(F358:K358)</f>
        <v>358784.68966947554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137009.51029186338</v>
      </c>
      <c r="G359" s="18">
        <v>33175.67</v>
      </c>
      <c r="H359" s="18">
        <v>295573.41835457348</v>
      </c>
      <c r="I359" s="18">
        <v>36709.13250582297</v>
      </c>
      <c r="J359" s="18">
        <v>0</v>
      </c>
      <c r="K359" s="18">
        <v>7906.6102253723811</v>
      </c>
      <c r="L359" s="19">
        <f>SUM(F359:K359)</f>
        <v>510374.34137763223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452265.23</v>
      </c>
      <c r="G361" s="47">
        <f t="shared" si="22"/>
        <v>109512.12999999999</v>
      </c>
      <c r="H361" s="47">
        <f t="shared" si="22"/>
        <v>843758.56999999983</v>
      </c>
      <c r="I361" s="47">
        <f t="shared" si="22"/>
        <v>106021.07999999999</v>
      </c>
      <c r="J361" s="47">
        <f t="shared" si="22"/>
        <v>0</v>
      </c>
      <c r="K361" s="47">
        <f t="shared" si="22"/>
        <v>22417.499999999996</v>
      </c>
      <c r="L361" s="47">
        <f t="shared" si="22"/>
        <v>1533974.5099999998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36493.645306091748</v>
      </c>
      <c r="G366" s="18">
        <v>23642.815524619466</v>
      </c>
      <c r="H366" s="18">
        <v>32766.809169288779</v>
      </c>
      <c r="I366" s="56">
        <f>SUM(F366:H366)</f>
        <v>92903.26999999999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8576.6141027351059</v>
      </c>
      <c r="G367" s="63">
        <v>598.87256073069875</v>
      </c>
      <c r="H367" s="63">
        <v>3942.3233365341939</v>
      </c>
      <c r="I367" s="56">
        <f>SUM(F367:H367)</f>
        <v>13117.809999999998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45070.259408826852</v>
      </c>
      <c r="G368" s="47">
        <f>SUM(G366:G367)</f>
        <v>24241.688085350164</v>
      </c>
      <c r="H368" s="47">
        <f>SUM(H366:H367)</f>
        <v>36709.13250582297</v>
      </c>
      <c r="I368" s="47">
        <f>SUM(I366:I367)</f>
        <v>106021.07999999999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>
        <v>200000</v>
      </c>
      <c r="H387" s="18">
        <v>367.44</v>
      </c>
      <c r="I387" s="18"/>
      <c r="J387" s="24" t="s">
        <v>289</v>
      </c>
      <c r="K387" s="24" t="s">
        <v>289</v>
      </c>
      <c r="L387" s="56">
        <f t="shared" si="25"/>
        <v>200367.44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200000</v>
      </c>
      <c r="H392" s="139">
        <f>SUM(H386:H391)</f>
        <v>367.44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200367.44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0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200000</v>
      </c>
      <c r="H407" s="47">
        <f>H392+H400+H406</f>
        <v>367.44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200367.44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504318.73</v>
      </c>
      <c r="G439" s="18"/>
      <c r="H439" s="18"/>
      <c r="I439" s="56">
        <f t="shared" si="33"/>
        <v>504318.73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504318.73</v>
      </c>
      <c r="G445" s="13">
        <f>SUM(G438:G444)</f>
        <v>0</v>
      </c>
      <c r="H445" s="13">
        <f>SUM(H438:H444)</f>
        <v>0</v>
      </c>
      <c r="I445" s="13">
        <f>SUM(I438:I444)</f>
        <v>504318.73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504318.73</v>
      </c>
      <c r="G458" s="18"/>
      <c r="H458" s="18"/>
      <c r="I458" s="56">
        <f t="shared" si="34"/>
        <v>504318.73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504318.73</v>
      </c>
      <c r="G459" s="83">
        <f>SUM(G453:G458)</f>
        <v>0</v>
      </c>
      <c r="H459" s="83">
        <f>SUM(H453:H458)</f>
        <v>0</v>
      </c>
      <c r="I459" s="83">
        <f>SUM(I453:I458)</f>
        <v>504318.73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504318.73</v>
      </c>
      <c r="G460" s="42">
        <f>G451+G459</f>
        <v>0</v>
      </c>
      <c r="H460" s="42">
        <f>H451+H459</f>
        <v>0</v>
      </c>
      <c r="I460" s="42">
        <f>I451+I459</f>
        <v>504318.73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2588153.39</v>
      </c>
      <c r="G464" s="18">
        <v>34717.839999999997</v>
      </c>
      <c r="H464" s="18">
        <v>34985.61</v>
      </c>
      <c r="I464" s="18"/>
      <c r="J464" s="18">
        <v>303951.28999999998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57625957.17-367.44</f>
        <v>57625589.730000004</v>
      </c>
      <c r="G467" s="18">
        <v>1540040.42</v>
      </c>
      <c r="H467" s="18">
        <f>156976.7+1628140.11+73893.35</f>
        <v>1859010.1600000001</v>
      </c>
      <c r="I467" s="18"/>
      <c r="J467" s="18">
        <f>200367.44</f>
        <v>200367.44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57625589.730000004</v>
      </c>
      <c r="G469" s="53">
        <f>SUM(G467:G468)</f>
        <v>1540040.42</v>
      </c>
      <c r="H469" s="53">
        <f>SUM(H467:H468)</f>
        <v>1859010.1600000001</v>
      </c>
      <c r="I469" s="53">
        <f>SUM(I467:I468)</f>
        <v>0</v>
      </c>
      <c r="J469" s="53">
        <f>SUM(J467:J468)</f>
        <v>200367.44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57593800.96+200000</f>
        <v>57793800.960000001</v>
      </c>
      <c r="G471" s="18">
        <v>1533974.51</v>
      </c>
      <c r="H471" s="18">
        <f>1628140.11+156976.7+73814.84</f>
        <v>1858931.6500000001</v>
      </c>
      <c r="I471" s="18"/>
      <c r="J471" s="18"/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57793800.960000001</v>
      </c>
      <c r="G473" s="53">
        <f>SUM(G471:G472)</f>
        <v>1533974.51</v>
      </c>
      <c r="H473" s="53">
        <f>SUM(H471:H472)</f>
        <v>1858931.6500000001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2419942.1600000039</v>
      </c>
      <c r="G475" s="53">
        <f>(G464+G469)- G473</f>
        <v>40783.75</v>
      </c>
      <c r="H475" s="53">
        <f>(H464+H469)- H473</f>
        <v>35064.120000000112</v>
      </c>
      <c r="I475" s="53">
        <f>(I464+I469)- I473</f>
        <v>0</v>
      </c>
      <c r="J475" s="53">
        <f>(J464+J469)- J473</f>
        <v>504318.73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32000000</v>
      </c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272" t="s">
        <v>912</v>
      </c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14400000</v>
      </c>
      <c r="G494" s="18"/>
      <c r="H494" s="18"/>
      <c r="I494" s="18"/>
      <c r="J494" s="18"/>
      <c r="K494" s="53">
        <f>SUM(F494:J494)</f>
        <v>14400000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1600000</v>
      </c>
      <c r="G496" s="18"/>
      <c r="H496" s="18"/>
      <c r="I496" s="18"/>
      <c r="J496" s="18"/>
      <c r="K496" s="53">
        <f t="shared" si="35"/>
        <v>1600000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f>F494-F496</f>
        <v>12800000</v>
      </c>
      <c r="G497" s="205"/>
      <c r="H497" s="205"/>
      <c r="I497" s="205"/>
      <c r="J497" s="205"/>
      <c r="K497" s="206">
        <f t="shared" si="35"/>
        <v>12800000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2688000</v>
      </c>
      <c r="G498" s="18"/>
      <c r="H498" s="18"/>
      <c r="I498" s="18"/>
      <c r="J498" s="18"/>
      <c r="K498" s="53">
        <f t="shared" si="35"/>
        <v>2688000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15488000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15488000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1600000</v>
      </c>
      <c r="G500" s="205"/>
      <c r="H500" s="205"/>
      <c r="I500" s="205"/>
      <c r="J500" s="205"/>
      <c r="K500" s="206">
        <f t="shared" si="35"/>
        <v>1600000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630000</v>
      </c>
      <c r="G501" s="18"/>
      <c r="H501" s="18"/>
      <c r="I501" s="18"/>
      <c r="J501" s="18"/>
      <c r="K501" s="53">
        <f t="shared" si="35"/>
        <v>630000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2230000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2230000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2213033.0299999998</v>
      </c>
      <c r="G520" s="18">
        <v>795064.34</v>
      </c>
      <c r="H520" s="18">
        <v>457746.02</v>
      </c>
      <c r="I520" s="18">
        <v>16846.310000000001</v>
      </c>
      <c r="J520" s="18">
        <v>23893.86</v>
      </c>
      <c r="K520" s="18"/>
      <c r="L520" s="88">
        <f>SUM(F520:K520)</f>
        <v>3506583.5599999996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1876559.98</v>
      </c>
      <c r="G521" s="18">
        <v>701442.27</v>
      </c>
      <c r="H521" s="18">
        <v>422696.74</v>
      </c>
      <c r="I521" s="18">
        <v>11659.05</v>
      </c>
      <c r="J521" s="18">
        <v>15479.9</v>
      </c>
      <c r="K521" s="18"/>
      <c r="L521" s="88">
        <f>SUM(F521:K521)</f>
        <v>3027837.94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2109535.59</v>
      </c>
      <c r="G522" s="18">
        <v>765422.91</v>
      </c>
      <c r="H522" s="18">
        <v>1347207.03</v>
      </c>
      <c r="I522" s="18">
        <v>15718.83</v>
      </c>
      <c r="J522" s="18">
        <v>21453.75</v>
      </c>
      <c r="K522" s="18"/>
      <c r="L522" s="88">
        <f>SUM(F522:K522)</f>
        <v>4259338.1100000003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6199128.5999999996</v>
      </c>
      <c r="G523" s="108">
        <f t="shared" ref="G523:L523" si="36">SUM(G520:G522)</f>
        <v>2261929.52</v>
      </c>
      <c r="H523" s="108">
        <f t="shared" si="36"/>
        <v>2227649.79</v>
      </c>
      <c r="I523" s="108">
        <f t="shared" si="36"/>
        <v>44224.19</v>
      </c>
      <c r="J523" s="108">
        <f t="shared" si="36"/>
        <v>60827.51</v>
      </c>
      <c r="K523" s="108">
        <f t="shared" si="36"/>
        <v>0</v>
      </c>
      <c r="L523" s="89">
        <f t="shared" si="36"/>
        <v>10793759.609999999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462566.04</v>
      </c>
      <c r="G525" s="18">
        <v>194659.84</v>
      </c>
      <c r="H525" s="18">
        <v>39975</v>
      </c>
      <c r="I525" s="18">
        <v>5448.59</v>
      </c>
      <c r="J525" s="18"/>
      <c r="K525" s="18">
        <v>6045.19</v>
      </c>
      <c r="L525" s="88">
        <f>SUM(F525:K525)</f>
        <v>708694.65999999992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299702.28999999998</v>
      </c>
      <c r="G526" s="18">
        <v>126122.53</v>
      </c>
      <c r="H526" s="18">
        <v>25900.3</v>
      </c>
      <c r="I526" s="18">
        <v>3530.21</v>
      </c>
      <c r="J526" s="18"/>
      <c r="K526" s="18">
        <v>3916.76</v>
      </c>
      <c r="L526" s="88">
        <f>SUM(F526:K526)</f>
        <v>459172.08999999997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415343.8</v>
      </c>
      <c r="G527" s="18">
        <v>174787.49</v>
      </c>
      <c r="H527" s="18">
        <v>35894.050000000003</v>
      </c>
      <c r="I527" s="18">
        <v>4892.3500000000004</v>
      </c>
      <c r="J527" s="18"/>
      <c r="K527" s="18">
        <v>5428.05</v>
      </c>
      <c r="L527" s="88">
        <f>SUM(F527:K527)</f>
        <v>636345.74000000011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1177612.1299999999</v>
      </c>
      <c r="G528" s="89">
        <f t="shared" ref="G528:L528" si="37">SUM(G525:G527)</f>
        <v>495569.86</v>
      </c>
      <c r="H528" s="89">
        <f t="shared" si="37"/>
        <v>101769.35</v>
      </c>
      <c r="I528" s="89">
        <f t="shared" si="37"/>
        <v>13871.15</v>
      </c>
      <c r="J528" s="89">
        <f t="shared" si="37"/>
        <v>0</v>
      </c>
      <c r="K528" s="89">
        <f t="shared" si="37"/>
        <v>15390</v>
      </c>
      <c r="L528" s="89">
        <f t="shared" si="37"/>
        <v>1804212.4900000002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116390.01</v>
      </c>
      <c r="G530" s="18">
        <v>48979.95</v>
      </c>
      <c r="H530" s="18">
        <v>2711.68</v>
      </c>
      <c r="I530" s="18">
        <v>234.2</v>
      </c>
      <c r="J530" s="18"/>
      <c r="K530" s="18"/>
      <c r="L530" s="88">
        <f>SUM(F530:K530)</f>
        <v>168315.84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75410.53</v>
      </c>
      <c r="G531" s="18">
        <v>31734.720000000001</v>
      </c>
      <c r="H531" s="18">
        <v>1756.93</v>
      </c>
      <c r="I531" s="18">
        <v>151.74</v>
      </c>
      <c r="J531" s="18"/>
      <c r="K531" s="18"/>
      <c r="L531" s="88">
        <f>SUM(F531:K531)</f>
        <v>109053.92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104508.03</v>
      </c>
      <c r="G532" s="18">
        <v>43979.7</v>
      </c>
      <c r="H532" s="18">
        <v>2434.84</v>
      </c>
      <c r="I532" s="18">
        <v>210.28</v>
      </c>
      <c r="J532" s="18"/>
      <c r="K532" s="18"/>
      <c r="L532" s="88">
        <f>SUM(F532:K532)</f>
        <v>151132.84999999998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296308.56999999995</v>
      </c>
      <c r="G533" s="89">
        <f t="shared" ref="G533:L533" si="38">SUM(G530:G532)</f>
        <v>124694.37</v>
      </c>
      <c r="H533" s="89">
        <f t="shared" si="38"/>
        <v>6903.45</v>
      </c>
      <c r="I533" s="89">
        <f t="shared" si="38"/>
        <v>596.22</v>
      </c>
      <c r="J533" s="89">
        <f t="shared" si="38"/>
        <v>0</v>
      </c>
      <c r="K533" s="89">
        <f t="shared" si="38"/>
        <v>0</v>
      </c>
      <c r="L533" s="89">
        <f t="shared" si="38"/>
        <v>428502.61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23701.39</v>
      </c>
      <c r="I535" s="18"/>
      <c r="J535" s="18"/>
      <c r="K535" s="18"/>
      <c r="L535" s="88">
        <f>SUM(F535:K535)</f>
        <v>23701.39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>
        <v>15356.43</v>
      </c>
      <c r="I536" s="18"/>
      <c r="J536" s="18"/>
      <c r="K536" s="18"/>
      <c r="L536" s="88">
        <f>SUM(F536:K536)</f>
        <v>15356.43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21281.78</v>
      </c>
      <c r="I537" s="18"/>
      <c r="J537" s="18"/>
      <c r="K537" s="18"/>
      <c r="L537" s="88">
        <f>SUM(F537:K537)</f>
        <v>21281.78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60339.6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60339.6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269066.7</v>
      </c>
      <c r="I540" s="18"/>
      <c r="J540" s="18"/>
      <c r="K540" s="18"/>
      <c r="L540" s="88">
        <f>SUM(F540:K540)</f>
        <v>269066.7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174331.66</v>
      </c>
      <c r="I541" s="18"/>
      <c r="J541" s="18"/>
      <c r="K541" s="18"/>
      <c r="L541" s="88">
        <f>SUM(F541:K541)</f>
        <v>174331.66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241598.32</v>
      </c>
      <c r="I542" s="18"/>
      <c r="J542" s="18"/>
      <c r="K542" s="18"/>
      <c r="L542" s="88">
        <f>SUM(F542:K542)</f>
        <v>241598.32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684996.67999999993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684996.67999999993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7673049.2999999998</v>
      </c>
      <c r="G544" s="89">
        <f t="shared" ref="G544:L544" si="41">G523+G528+G533+G538+G543</f>
        <v>2882193.75</v>
      </c>
      <c r="H544" s="89">
        <f t="shared" si="41"/>
        <v>3081658.87</v>
      </c>
      <c r="I544" s="89">
        <f t="shared" si="41"/>
        <v>58691.560000000005</v>
      </c>
      <c r="J544" s="89">
        <f t="shared" si="41"/>
        <v>60827.51</v>
      </c>
      <c r="K544" s="89">
        <f t="shared" si="41"/>
        <v>15390</v>
      </c>
      <c r="L544" s="89">
        <f t="shared" si="41"/>
        <v>13771810.989999998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3506583.5599999996</v>
      </c>
      <c r="G548" s="87">
        <f>L525</f>
        <v>708694.65999999992</v>
      </c>
      <c r="H548" s="87">
        <f>L530</f>
        <v>168315.84</v>
      </c>
      <c r="I548" s="87">
        <f>L535</f>
        <v>23701.39</v>
      </c>
      <c r="J548" s="87">
        <f>L540</f>
        <v>269066.7</v>
      </c>
      <c r="K548" s="87">
        <f>SUM(F548:J548)</f>
        <v>4676362.1499999994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3027837.94</v>
      </c>
      <c r="G549" s="87">
        <f>L526</f>
        <v>459172.08999999997</v>
      </c>
      <c r="H549" s="87">
        <f>L531</f>
        <v>109053.92</v>
      </c>
      <c r="I549" s="87">
        <f>L536</f>
        <v>15356.43</v>
      </c>
      <c r="J549" s="87">
        <f>L541</f>
        <v>174331.66</v>
      </c>
      <c r="K549" s="87">
        <f>SUM(F549:J549)</f>
        <v>3785752.04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4259338.1100000003</v>
      </c>
      <c r="G550" s="87">
        <f>L527</f>
        <v>636345.74000000011</v>
      </c>
      <c r="H550" s="87">
        <f>L532</f>
        <v>151132.84999999998</v>
      </c>
      <c r="I550" s="87">
        <f>L537</f>
        <v>21281.78</v>
      </c>
      <c r="J550" s="87">
        <f>L542</f>
        <v>241598.32</v>
      </c>
      <c r="K550" s="87">
        <f>SUM(F550:J550)</f>
        <v>5309696.8000000007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10793759.609999999</v>
      </c>
      <c r="G551" s="89">
        <f t="shared" si="42"/>
        <v>1804212.4900000002</v>
      </c>
      <c r="H551" s="89">
        <f t="shared" si="42"/>
        <v>428502.61</v>
      </c>
      <c r="I551" s="89">
        <f t="shared" si="42"/>
        <v>60339.6</v>
      </c>
      <c r="J551" s="89">
        <f t="shared" si="42"/>
        <v>684996.67999999993</v>
      </c>
      <c r="K551" s="89">
        <f t="shared" si="42"/>
        <v>13771810.99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>
        <v>272971.01</v>
      </c>
      <c r="G566" s="18">
        <f>F566*33%</f>
        <v>90080.433300000004</v>
      </c>
      <c r="H566" s="18">
        <v>1949.2</v>
      </c>
      <c r="I566" s="18"/>
      <c r="J566" s="18"/>
      <c r="K566" s="18"/>
      <c r="L566" s="88">
        <f>SUM(F566:K566)</f>
        <v>365000.64330000005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>
        <v>54967</v>
      </c>
      <c r="G567" s="18">
        <f>F567*33%</f>
        <v>18139.11</v>
      </c>
      <c r="H567" s="18">
        <f>961.05+1862.39</f>
        <v>2823.44</v>
      </c>
      <c r="I567" s="18">
        <v>606.9</v>
      </c>
      <c r="J567" s="18"/>
      <c r="K567" s="18"/>
      <c r="L567" s="88">
        <f>SUM(F567:K567)</f>
        <v>76536.45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>
        <f>1400+1329.59</f>
        <v>2729.59</v>
      </c>
      <c r="I568" s="18">
        <v>958.72</v>
      </c>
      <c r="J568" s="18"/>
      <c r="K568" s="18"/>
      <c r="L568" s="88">
        <f>SUM(F568:K568)</f>
        <v>3688.3100000000004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327938.01</v>
      </c>
      <c r="G569" s="194">
        <f t="shared" ref="G569:L569" si="45">SUM(G566:G568)</f>
        <v>108219.5433</v>
      </c>
      <c r="H569" s="194">
        <f t="shared" si="45"/>
        <v>7502.2300000000005</v>
      </c>
      <c r="I569" s="194">
        <f t="shared" si="45"/>
        <v>1565.62</v>
      </c>
      <c r="J569" s="194">
        <f t="shared" si="45"/>
        <v>0</v>
      </c>
      <c r="K569" s="194">
        <f t="shared" si="45"/>
        <v>0</v>
      </c>
      <c r="L569" s="194">
        <f t="shared" si="45"/>
        <v>445225.40330000006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327938.01</v>
      </c>
      <c r="G570" s="89">
        <f t="shared" ref="G570:L570" si="46">G559+G564+G569</f>
        <v>108219.5433</v>
      </c>
      <c r="H570" s="89">
        <f t="shared" si="46"/>
        <v>7502.2300000000005</v>
      </c>
      <c r="I570" s="89">
        <f t="shared" si="46"/>
        <v>1565.62</v>
      </c>
      <c r="J570" s="89">
        <f t="shared" si="46"/>
        <v>0</v>
      </c>
      <c r="K570" s="89">
        <f t="shared" si="46"/>
        <v>0</v>
      </c>
      <c r="L570" s="89">
        <f t="shared" si="46"/>
        <v>445225.40330000006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>SUM(F577:H577)</f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147748.88</v>
      </c>
      <c r="G581" s="18">
        <v>221431.77</v>
      </c>
      <c r="H581" s="18">
        <f>1068236.73+217615</f>
        <v>1285851.73</v>
      </c>
      <c r="I581" s="87">
        <f>SUM(F581:H581)</f>
        <v>1655032.38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47929.39</v>
      </c>
      <c r="I583" s="87">
        <f t="shared" si="47"/>
        <v>47929.39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647913.52</v>
      </c>
      <c r="I590" s="18">
        <v>419744.21</v>
      </c>
      <c r="J590" s="18">
        <v>570193.85</v>
      </c>
      <c r="K590" s="104">
        <f t="shared" ref="K590:K596" si="48">SUM(H590:J590)</f>
        <v>1637851.58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269066.7</v>
      </c>
      <c r="I591" s="18">
        <v>174331.66</v>
      </c>
      <c r="J591" s="18">
        <v>241598.32</v>
      </c>
      <c r="K591" s="104">
        <f t="shared" si="48"/>
        <v>684996.67999999993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50284.15</v>
      </c>
      <c r="K592" s="104">
        <f t="shared" si="48"/>
        <v>50284.15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14348.53</v>
      </c>
      <c r="J593" s="18">
        <v>65523.82</v>
      </c>
      <c r="K593" s="104">
        <f t="shared" si="48"/>
        <v>79872.350000000006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8275.07</v>
      </c>
      <c r="I594" s="18">
        <v>8421.27</v>
      </c>
      <c r="J594" s="18">
        <v>7119.26</v>
      </c>
      <c r="K594" s="104">
        <f t="shared" si="48"/>
        <v>23815.599999999999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>
        <v>11543.38</v>
      </c>
      <c r="K596" s="104">
        <f t="shared" si="48"/>
        <v>11543.38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925255.28999999992</v>
      </c>
      <c r="I597" s="108">
        <f>SUM(I590:I596)</f>
        <v>616845.67000000004</v>
      </c>
      <c r="J597" s="108">
        <f>SUM(J590:J596)</f>
        <v>946262.77999999991</v>
      </c>
      <c r="K597" s="108">
        <f>SUM(K590:K596)</f>
        <v>2488363.7399999998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302763.87</v>
      </c>
      <c r="I603" s="18">
        <v>218414.12</v>
      </c>
      <c r="J603" s="18">
        <f>303094.73+433.26</f>
        <v>303527.99</v>
      </c>
      <c r="K603" s="104">
        <f>SUM(H603:J603)</f>
        <v>824705.98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302763.87</v>
      </c>
      <c r="I604" s="108">
        <f>SUM(I601:I603)</f>
        <v>218414.12</v>
      </c>
      <c r="J604" s="108">
        <f>SUM(J601:J603)</f>
        <v>303527.99</v>
      </c>
      <c r="K604" s="108">
        <f>SUM(K601:K603)</f>
        <v>824705.98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18610</v>
      </c>
      <c r="G612" s="18"/>
      <c r="H612" s="18"/>
      <c r="I612" s="18">
        <v>926.26</v>
      </c>
      <c r="J612" s="18"/>
      <c r="K612" s="18"/>
      <c r="L612" s="88">
        <f>SUM(F612:K612)</f>
        <v>19536.259999999998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18610</v>
      </c>
      <c r="G613" s="108">
        <f t="shared" si="49"/>
        <v>0</v>
      </c>
      <c r="H613" s="108">
        <f t="shared" si="49"/>
        <v>0</v>
      </c>
      <c r="I613" s="108">
        <f t="shared" si="49"/>
        <v>926.26</v>
      </c>
      <c r="J613" s="108">
        <f t="shared" si="49"/>
        <v>0</v>
      </c>
      <c r="K613" s="108">
        <f t="shared" si="49"/>
        <v>0</v>
      </c>
      <c r="L613" s="89">
        <f t="shared" si="49"/>
        <v>19536.259999999998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2664738.2000000002</v>
      </c>
      <c r="H616" s="109">
        <f>SUM(F51)</f>
        <v>2664738.2000000002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529661.64</v>
      </c>
      <c r="H617" s="109">
        <f>SUM(G51)</f>
        <v>529661.64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815866.9</v>
      </c>
      <c r="H618" s="109">
        <f>SUM(H51)</f>
        <v>815866.9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504318.73</v>
      </c>
      <c r="H620" s="109">
        <f>SUM(J51)</f>
        <v>504318.73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2419942.16</v>
      </c>
      <c r="H621" s="109">
        <f>F475</f>
        <v>2419942.1600000039</v>
      </c>
      <c r="I621" s="121" t="s">
        <v>101</v>
      </c>
      <c r="J621" s="109">
        <f t="shared" ref="J621:J654" si="50">G621-H621</f>
        <v>-3.7252902984619141E-9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40783.75</v>
      </c>
      <c r="H622" s="109">
        <f>G475</f>
        <v>40783.75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35064.120000000003</v>
      </c>
      <c r="H623" s="109">
        <f>H475</f>
        <v>35064.120000000112</v>
      </c>
      <c r="I623" s="121" t="s">
        <v>103</v>
      </c>
      <c r="J623" s="109">
        <f t="shared" si="50"/>
        <v>-1.0913936421275139E-10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504318.73</v>
      </c>
      <c r="H625" s="109">
        <f>J475</f>
        <v>504318.73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57625589.730000004</v>
      </c>
      <c r="H626" s="104">
        <f>SUM(F467)</f>
        <v>57625589.730000004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1540040.42</v>
      </c>
      <c r="H627" s="104">
        <f>SUM(G467)</f>
        <v>1540040.42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1859010.1600000001</v>
      </c>
      <c r="H628" s="104">
        <f>SUM(H467)</f>
        <v>1859010.1600000001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200367.44</v>
      </c>
      <c r="H630" s="104">
        <f>SUM(J467)</f>
        <v>200367.44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57793800.963035069</v>
      </c>
      <c r="H631" s="104">
        <f>SUM(F471)</f>
        <v>57793800.960000001</v>
      </c>
      <c r="I631" s="140" t="s">
        <v>111</v>
      </c>
      <c r="J631" s="109">
        <f t="shared" si="50"/>
        <v>3.0350685119628906E-3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1858931.6500000001</v>
      </c>
      <c r="H632" s="104">
        <f>SUM(H471)</f>
        <v>1858931.6500000001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106021.07999999999</v>
      </c>
      <c r="H633" s="104">
        <f>I368</f>
        <v>106021.07999999999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1533974.5099999998</v>
      </c>
      <c r="H634" s="104">
        <f>SUM(G471)</f>
        <v>1533974.51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200367.44</v>
      </c>
      <c r="H636" s="164">
        <f>SUM(J467)</f>
        <v>200367.44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504318.73</v>
      </c>
      <c r="H638" s="104">
        <f>SUM(F460)</f>
        <v>504318.73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504318.73</v>
      </c>
      <c r="H641" s="104">
        <f>SUM(I460)</f>
        <v>504318.73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367.44</v>
      </c>
      <c r="H643" s="104">
        <f>H407</f>
        <v>367.44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200000</v>
      </c>
      <c r="H644" s="104">
        <f>G407</f>
        <v>200000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200367.44</v>
      </c>
      <c r="H645" s="104">
        <f>L407</f>
        <v>200367.44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2488363.7399999998</v>
      </c>
      <c r="H646" s="104">
        <f>L207+L225+L243</f>
        <v>2488363.7352959877</v>
      </c>
      <c r="I646" s="140" t="s">
        <v>397</v>
      </c>
      <c r="J646" s="109">
        <f t="shared" si="50"/>
        <v>4.70401206985116E-3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824705.98</v>
      </c>
      <c r="H647" s="104">
        <f>(J256+J337)-(J254+J335)</f>
        <v>824705.98263511935</v>
      </c>
      <c r="I647" s="140" t="s">
        <v>703</v>
      </c>
      <c r="J647" s="109">
        <f t="shared" si="50"/>
        <v>-2.6351193664595485E-3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925255.29</v>
      </c>
      <c r="H648" s="104">
        <f>H597</f>
        <v>925255.28999999992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616845.67000000004</v>
      </c>
      <c r="H649" s="104">
        <f>I597</f>
        <v>616845.67000000004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946262.77529598761</v>
      </c>
      <c r="H650" s="104">
        <f>J597</f>
        <v>946262.77999999991</v>
      </c>
      <c r="I650" s="140" t="s">
        <v>391</v>
      </c>
      <c r="J650" s="109">
        <f t="shared" si="50"/>
        <v>-4.7040123026818037E-3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200000</v>
      </c>
      <c r="H654" s="104">
        <f>K265+K346</f>
        <v>200000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3.9994716644287109E-4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22965271.221196163</v>
      </c>
      <c r="G659" s="19">
        <f>(L228+L308+L358)</f>
        <v>14654803.732842611</v>
      </c>
      <c r="H659" s="19">
        <f>(L246+L327+L359)</f>
        <v>20129255.718996294</v>
      </c>
      <c r="I659" s="19">
        <f>SUM(F659:H659)</f>
        <v>57749330.67303507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469965.23425893584</v>
      </c>
      <c r="G660" s="19">
        <f>(L358/IF(SUM(L357:L359)=0,1,SUM(L357:L359))*(SUM(G96:G109)))</f>
        <v>253628.76778171796</v>
      </c>
      <c r="H660" s="19">
        <f>(L359/IF(SUM(L357:L359)=0,1,SUM(L357:L359))*(SUM(G96:G109)))</f>
        <v>360789.12795934617</v>
      </c>
      <c r="I660" s="19">
        <f>SUM(F660:H660)</f>
        <v>1084383.1299999999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925255.29</v>
      </c>
      <c r="G661" s="19">
        <f>(L225+L305)-(J225+J305)</f>
        <v>616845.67000000004</v>
      </c>
      <c r="H661" s="19">
        <f>(L243+L324)-(J243+J324)</f>
        <v>946262.77529598761</v>
      </c>
      <c r="I661" s="19">
        <f>SUM(F661:H661)</f>
        <v>2488363.7352959877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450512.75</v>
      </c>
      <c r="G662" s="200">
        <f>SUM(G574:G586)+SUM(I601:I603)+L611</f>
        <v>439845.89</v>
      </c>
      <c r="H662" s="200">
        <f>SUM(H574:H586)+SUM(J601:J603)+L612</f>
        <v>1656845.3699999999</v>
      </c>
      <c r="I662" s="19">
        <f>SUM(F662:H662)</f>
        <v>2547204.0099999998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21119537.946937226</v>
      </c>
      <c r="G663" s="19">
        <f>G659-SUM(G660:G662)</f>
        <v>13344483.405060893</v>
      </c>
      <c r="H663" s="19">
        <f>H659-SUM(H660:H662)</f>
        <v>17165358.445740961</v>
      </c>
      <c r="I663" s="19">
        <f>I659-SUM(I660:I662)</f>
        <v>51629379.797739081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1566.74</v>
      </c>
      <c r="G664" s="249">
        <v>1015.03</v>
      </c>
      <c r="H664" s="249">
        <v>1406.74</v>
      </c>
      <c r="I664" s="19">
        <f>SUM(F664:H664)</f>
        <v>3988.51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13479.93</v>
      </c>
      <c r="G666" s="19">
        <f>ROUND(G663/G664,2)</f>
        <v>13146.89</v>
      </c>
      <c r="H666" s="19">
        <f>ROUND(H663/H664,2)</f>
        <v>12202.23</v>
      </c>
      <c r="I666" s="19">
        <f>ROUND(I663/I664,2)</f>
        <v>12944.53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>
        <v>-18.440000000000001</v>
      </c>
      <c r="I669" s="19">
        <f>SUM(F669:H669)</f>
        <v>-18.440000000000001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13479.93</v>
      </c>
      <c r="G671" s="19">
        <f>ROUND((G663+G668)/(G664+G669),2)</f>
        <v>13146.89</v>
      </c>
      <c r="H671" s="19">
        <f>ROUND((H663+H668)/(H664+H669),2)</f>
        <v>12364.3</v>
      </c>
      <c r="I671" s="19">
        <f>ROUND((I663+I668)/(I664+I669),2)</f>
        <v>13004.65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9" workbookViewId="0">
      <selection activeCell="C40" sqref="C40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Timberlane Regional School District</v>
      </c>
      <c r="C1" s="239" t="s">
        <v>839</v>
      </c>
    </row>
    <row r="2" spans="1:3">
      <c r="A2" s="234"/>
      <c r="B2" s="233"/>
    </row>
    <row r="3" spans="1:3">
      <c r="A3" s="276" t="s">
        <v>784</v>
      </c>
      <c r="B3" s="276"/>
      <c r="C3" s="276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5" t="s">
        <v>783</v>
      </c>
      <c r="C6" s="275"/>
    </row>
    <row r="7" spans="1:3">
      <c r="A7" s="240" t="s">
        <v>786</v>
      </c>
      <c r="B7" s="273" t="s">
        <v>782</v>
      </c>
      <c r="C7" s="274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17648326.989999998</v>
      </c>
      <c r="C9" s="230">
        <f>'DOE25'!G196+'DOE25'!G214+'DOE25'!G232+'DOE25'!G275+'DOE25'!G294+'DOE25'!G313</f>
        <v>7283628.0800000001</v>
      </c>
    </row>
    <row r="10" spans="1:3">
      <c r="A10" t="s">
        <v>779</v>
      </c>
      <c r="B10" s="241">
        <v>16029568.140000001</v>
      </c>
      <c r="C10" s="241">
        <f>B10/B9*C9</f>
        <v>6615551.3030177252</v>
      </c>
    </row>
    <row r="11" spans="1:3">
      <c r="A11" t="s">
        <v>780</v>
      </c>
      <c r="B11" s="241">
        <f>1014003.26</f>
        <v>1014003.26</v>
      </c>
      <c r="C11" s="241">
        <f>B11/B9*C9</f>
        <v>418488.54126130074</v>
      </c>
    </row>
    <row r="12" spans="1:3">
      <c r="A12" t="s">
        <v>781</v>
      </c>
      <c r="B12" s="241">
        <f>B9-B10-B11</f>
        <v>604755.58999999776</v>
      </c>
      <c r="C12" s="241">
        <f>C9-C10-C11</f>
        <v>249588.2357209741</v>
      </c>
    </row>
    <row r="13" spans="1:3">
      <c r="A13" t="str">
        <f>IF(B9=B13,IF(C9=C13,"Check Total OK","Check Total Error"),"Check Total Error")</f>
        <v>Check Total OK</v>
      </c>
      <c r="B13" s="232">
        <f>SUM(B10:B12)</f>
        <v>17648326.989999998</v>
      </c>
      <c r="C13" s="232">
        <f>SUM(C10:C12)</f>
        <v>7283628.0800000001</v>
      </c>
    </row>
    <row r="14" spans="1:3">
      <c r="B14" s="231"/>
      <c r="C14" s="231"/>
    </row>
    <row r="15" spans="1:3">
      <c r="B15" s="275" t="s">
        <v>783</v>
      </c>
      <c r="C15" s="275"/>
    </row>
    <row r="16" spans="1:3">
      <c r="A16" s="240" t="s">
        <v>787</v>
      </c>
      <c r="B16" s="273" t="s">
        <v>707</v>
      </c>
      <c r="C16" s="274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6495437.1699999999</v>
      </c>
      <c r="C18" s="230">
        <f>'DOE25'!G197+'DOE25'!G215+'DOE25'!G233+'DOE25'!G276+'DOE25'!G295+'DOE25'!G314</f>
        <v>2386623.8799999994</v>
      </c>
    </row>
    <row r="19" spans="1:3">
      <c r="A19" t="s">
        <v>779</v>
      </c>
      <c r="B19" s="241">
        <v>4016983.52</v>
      </c>
      <c r="C19" s="241">
        <f>B19/B18*C18</f>
        <v>1475963.5946718664</v>
      </c>
    </row>
    <row r="20" spans="1:3">
      <c r="A20" t="s">
        <v>780</v>
      </c>
      <c r="B20" s="241">
        <v>2125922.2599999998</v>
      </c>
      <c r="C20" s="241">
        <f>B20/B18*C18</f>
        <v>781129.38358844409</v>
      </c>
    </row>
    <row r="21" spans="1:3">
      <c r="A21" t="s">
        <v>781</v>
      </c>
      <c r="B21" s="241">
        <f>B18-B19-B20</f>
        <v>352531.39000000013</v>
      </c>
      <c r="C21" s="241">
        <f>C18-C19-C20</f>
        <v>129530.90173968894</v>
      </c>
    </row>
    <row r="22" spans="1:3">
      <c r="A22" t="str">
        <f>IF(B18=B22,IF(C18=C22,"Check Total OK","Check Total Error"),"Check Total Error")</f>
        <v>Check Total OK</v>
      </c>
      <c r="B22" s="232">
        <f>SUM(B19:B21)</f>
        <v>6495437.1699999999</v>
      </c>
      <c r="C22" s="232">
        <f>SUM(C19:C21)</f>
        <v>2386623.8799999994</v>
      </c>
    </row>
    <row r="23" spans="1:3">
      <c r="B23" s="231"/>
      <c r="C23" s="231"/>
    </row>
    <row r="24" spans="1:3">
      <c r="B24" s="275" t="s">
        <v>783</v>
      </c>
      <c r="C24" s="275"/>
    </row>
    <row r="25" spans="1:3">
      <c r="A25" s="240" t="s">
        <v>788</v>
      </c>
      <c r="B25" s="273" t="s">
        <v>708</v>
      </c>
      <c r="C25" s="274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5" t="s">
        <v>783</v>
      </c>
      <c r="C33" s="275"/>
    </row>
    <row r="34" spans="1:3">
      <c r="A34" s="240" t="s">
        <v>789</v>
      </c>
      <c r="B34" s="273" t="s">
        <v>709</v>
      </c>
      <c r="C34" s="274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586875.69999999995</v>
      </c>
      <c r="C36" s="236">
        <f>'DOE25'!G199+'DOE25'!G217+'DOE25'!G235+'DOE25'!G278+'DOE25'!G297+'DOE25'!G316</f>
        <v>245993.86</v>
      </c>
    </row>
    <row r="37" spans="1:3">
      <c r="A37" t="s">
        <v>779</v>
      </c>
      <c r="B37" s="241">
        <v>467950.07</v>
      </c>
      <c r="C37" s="241">
        <f>B37/B36*C36</f>
        <v>196145.18714366638</v>
      </c>
    </row>
    <row r="38" spans="1:3">
      <c r="A38" t="s">
        <v>780</v>
      </c>
      <c r="B38" s="241"/>
      <c r="C38" s="241"/>
    </row>
    <row r="39" spans="1:3">
      <c r="A39" t="s">
        <v>781</v>
      </c>
      <c r="B39" s="241">
        <f>B36-B37</f>
        <v>118925.62999999995</v>
      </c>
      <c r="C39" s="241">
        <f>C36-C37</f>
        <v>49848.672856333607</v>
      </c>
    </row>
    <row r="40" spans="1:3">
      <c r="A40" t="str">
        <f>IF(B36=B40,IF(C36=C40,"Check Total OK","Check Total Error"),"Check Total Error")</f>
        <v>Check Total OK</v>
      </c>
      <c r="B40" s="232">
        <f>SUM(B37:B39)</f>
        <v>586875.69999999995</v>
      </c>
      <c r="C40" s="232">
        <f>SUM(C37:C39)</f>
        <v>245993.86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8" activePane="bottomLeft" state="frozen"/>
      <selection pane="bottomLeft" activeCell="D11" sqref="D11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5" t="s">
        <v>790</v>
      </c>
      <c r="B1" s="280"/>
      <c r="C1" s="280"/>
      <c r="D1" s="280"/>
      <c r="E1" s="280"/>
      <c r="F1" s="280"/>
      <c r="G1" s="280"/>
      <c r="H1" s="280"/>
      <c r="I1" s="181"/>
    </row>
    <row r="2" spans="1:9">
      <c r="A2" s="33" t="s">
        <v>717</v>
      </c>
      <c r="B2" s="266" t="str">
        <f>'DOE25'!A2</f>
        <v>Timberlane Regional School District</v>
      </c>
      <c r="C2" s="181"/>
      <c r="D2" s="181" t="s">
        <v>792</v>
      </c>
      <c r="E2" s="181" t="s">
        <v>794</v>
      </c>
      <c r="F2" s="277" t="s">
        <v>821</v>
      </c>
      <c r="G2" s="278"/>
      <c r="H2" s="279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37177306.390000001</v>
      </c>
      <c r="D5" s="20">
        <f>SUM('DOE25'!L196:L199)+SUM('DOE25'!L214:L217)+SUM('DOE25'!L232:L235)-F5-G5</f>
        <v>36581058.910000004</v>
      </c>
      <c r="E5" s="244"/>
      <c r="F5" s="256">
        <f>SUM('DOE25'!J196:J199)+SUM('DOE25'!J214:J217)+SUM('DOE25'!J232:J235)</f>
        <v>534408.40999999992</v>
      </c>
      <c r="G5" s="53">
        <f>SUM('DOE25'!K196:K199)+SUM('DOE25'!K214:K217)+SUM('DOE25'!K232:K235)</f>
        <v>61839.07</v>
      </c>
      <c r="H5" s="260"/>
    </row>
    <row r="6" spans="1:9">
      <c r="A6" s="32">
        <v>2100</v>
      </c>
      <c r="B6" t="s">
        <v>801</v>
      </c>
      <c r="C6" s="246">
        <f t="shared" si="0"/>
        <v>4374109.3154364666</v>
      </c>
      <c r="D6" s="20">
        <f>'DOE25'!L201+'DOE25'!L219+'DOE25'!L237-F6-G6</f>
        <v>4354746.2112886021</v>
      </c>
      <c r="E6" s="244"/>
      <c r="F6" s="256">
        <f>'DOE25'!J201+'DOE25'!J219+'DOE25'!J237</f>
        <v>3973.0999984956784</v>
      </c>
      <c r="G6" s="53">
        <f>'DOE25'!K201+'DOE25'!K219+'DOE25'!K237</f>
        <v>15390.004149369062</v>
      </c>
      <c r="H6" s="260"/>
    </row>
    <row r="7" spans="1:9">
      <c r="A7" s="32">
        <v>2200</v>
      </c>
      <c r="B7" t="s">
        <v>834</v>
      </c>
      <c r="C7" s="246">
        <f t="shared" si="0"/>
        <v>971940.03667605179</v>
      </c>
      <c r="D7" s="20">
        <f>'DOE25'!L202+'DOE25'!L220+'DOE25'!L238-F7-G7</f>
        <v>960497.80667605181</v>
      </c>
      <c r="E7" s="244"/>
      <c r="F7" s="256">
        <f>'DOE25'!J202+'DOE25'!J220+'DOE25'!J238</f>
        <v>11442.230000000001</v>
      </c>
      <c r="G7" s="53">
        <f>'DOE25'!K202+'DOE25'!K220+'DOE25'!K238</f>
        <v>0</v>
      </c>
      <c r="H7" s="260"/>
    </row>
    <row r="8" spans="1:9">
      <c r="A8" s="32">
        <v>2300</v>
      </c>
      <c r="B8" t="s">
        <v>802</v>
      </c>
      <c r="C8" s="246">
        <f t="shared" si="0"/>
        <v>1652766.4748654258</v>
      </c>
      <c r="D8" s="244"/>
      <c r="E8" s="20">
        <f>'DOE25'!L203+'DOE25'!L221+'DOE25'!L239-F8-G8-D9-D11</f>
        <v>1606755.7125398207</v>
      </c>
      <c r="F8" s="256">
        <f>'DOE25'!J203+'DOE25'!J221+'DOE25'!J239</f>
        <v>18073.64</v>
      </c>
      <c r="G8" s="53">
        <f>'DOE25'!K203+'DOE25'!K221+'DOE25'!K239</f>
        <v>27937.122325605298</v>
      </c>
      <c r="H8" s="260"/>
    </row>
    <row r="9" spans="1:9">
      <c r="A9" s="32">
        <v>2310</v>
      </c>
      <c r="B9" t="s">
        <v>818</v>
      </c>
      <c r="C9" s="246">
        <f t="shared" si="0"/>
        <v>12000</v>
      </c>
      <c r="D9" s="245">
        <f>9200+2800</f>
        <v>12000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23965.5</v>
      </c>
      <c r="D10" s="244"/>
      <c r="E10" s="245">
        <v>23965.5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305180.02</v>
      </c>
      <c r="D11" s="245">
        <v>305180.02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3310379.4370908691</v>
      </c>
      <c r="D12" s="20">
        <f>'DOE25'!L204+'DOE25'!L222+'DOE25'!L240-F12-G12</f>
        <v>3230477.1927346308</v>
      </c>
      <c r="E12" s="244"/>
      <c r="F12" s="256">
        <f>'DOE25'!J204+'DOE25'!J222+'DOE25'!J240</f>
        <v>59299.074356238292</v>
      </c>
      <c r="G12" s="53">
        <f>'DOE25'!K204+'DOE25'!K222+'DOE25'!K240</f>
        <v>20603.169999999998</v>
      </c>
      <c r="H12" s="260"/>
    </row>
    <row r="13" spans="1:9">
      <c r="A13" s="32">
        <v>2500</v>
      </c>
      <c r="B13" t="s">
        <v>803</v>
      </c>
      <c r="C13" s="246">
        <f t="shared" si="0"/>
        <v>49598.572659790247</v>
      </c>
      <c r="D13" s="244"/>
      <c r="E13" s="20">
        <f>'DOE25'!L205+'DOE25'!L223+'DOE25'!L241-F13-G13</f>
        <v>49598.572659790247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3764422.8773072902</v>
      </c>
      <c r="D14" s="20">
        <f>'DOE25'!L206+'DOE25'!L224+'DOE25'!L242-F14-G14</f>
        <v>3685142.121877769</v>
      </c>
      <c r="E14" s="244"/>
      <c r="F14" s="256">
        <f>'DOE25'!J206+'DOE25'!J224+'DOE25'!J242</f>
        <v>79280.75542952129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2488363.7352959877</v>
      </c>
      <c r="D15" s="20">
        <f>'DOE25'!L207+'DOE25'!L225+'DOE25'!L243-F15-G15</f>
        <v>2488363.7352959877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324172.47370318731</v>
      </c>
      <c r="D16" s="244"/>
      <c r="E16" s="20">
        <f>'DOE25'!L208+'DOE25'!L226+'DOE25'!L244-F16-G16</f>
        <v>295700.73085232324</v>
      </c>
      <c r="F16" s="256">
        <f>'DOE25'!J208+'DOE25'!J226+'DOE25'!J244</f>
        <v>28471.742850864102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219233.47</v>
      </c>
      <c r="D17" s="20">
        <f>'DOE25'!L250-F17-G17</f>
        <v>219233.47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630328.15999999992</v>
      </c>
      <c r="D22" s="244"/>
      <c r="E22" s="244"/>
      <c r="F22" s="256">
        <f>'DOE25'!L254+'DOE25'!L335</f>
        <v>630328.15999999992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2314000</v>
      </c>
      <c r="D25" s="244"/>
      <c r="E25" s="244"/>
      <c r="F25" s="259"/>
      <c r="G25" s="257"/>
      <c r="H25" s="258">
        <f>'DOE25'!L259+'DOE25'!L260+'DOE25'!L340+'DOE25'!L341</f>
        <v>2314000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1441071.2399999998</v>
      </c>
      <c r="D29" s="20">
        <f>'DOE25'!L357+'DOE25'!L358+'DOE25'!L359-'DOE25'!I366-F29-G29</f>
        <v>1418653.7399999998</v>
      </c>
      <c r="E29" s="244"/>
      <c r="F29" s="256">
        <f>'DOE25'!J357+'DOE25'!J358+'DOE25'!J359</f>
        <v>0</v>
      </c>
      <c r="G29" s="53">
        <f>'DOE25'!K357+'DOE25'!K358+'DOE25'!K359</f>
        <v>22417.499999999996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1858931.6500000001</v>
      </c>
      <c r="D31" s="20">
        <f>'DOE25'!L289+'DOE25'!L308+'DOE25'!L327+'DOE25'!L332+'DOE25'!L333+'DOE25'!L334-F31-G31</f>
        <v>1768596.7000000002</v>
      </c>
      <c r="E31" s="244"/>
      <c r="F31" s="256">
        <f>'DOE25'!J289+'DOE25'!J308+'DOE25'!J327+'DOE25'!J332+'DOE25'!J333+'DOE25'!J334</f>
        <v>89757.029999999984</v>
      </c>
      <c r="G31" s="53">
        <f>'DOE25'!K289+'DOE25'!K308+'DOE25'!K327+'DOE25'!K332+'DOE25'!K333+'DOE25'!K334</f>
        <v>577.91999999999985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55023949.907873049</v>
      </c>
      <c r="E33" s="247">
        <f>SUM(E5:E31)</f>
        <v>1976020.5160519341</v>
      </c>
      <c r="F33" s="247">
        <f>SUM(F5:F31)</f>
        <v>1455034.1426351191</v>
      </c>
      <c r="G33" s="247">
        <f>SUM(G5:G31)</f>
        <v>148764.78647497436</v>
      </c>
      <c r="H33" s="247">
        <f>SUM(H5:H31)</f>
        <v>2314000</v>
      </c>
    </row>
    <row r="35" spans="2:8" ht="12" thickBot="1">
      <c r="B35" s="254" t="s">
        <v>847</v>
      </c>
      <c r="D35" s="255">
        <f>E33</f>
        <v>1976020.5160519341</v>
      </c>
      <c r="E35" s="250"/>
    </row>
    <row r="36" spans="2:8" ht="12" thickTop="1">
      <c r="B36" t="s">
        <v>815</v>
      </c>
      <c r="D36" s="20">
        <f>D33</f>
        <v>55023949.907873049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Timberlane Regional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1272485.75</v>
      </c>
      <c r="D8" s="95">
        <f>'DOE25'!G9</f>
        <v>344827.3</v>
      </c>
      <c r="E8" s="95">
        <f>'DOE25'!H9</f>
        <v>43967.65</v>
      </c>
      <c r="F8" s="95">
        <f>'DOE25'!I9</f>
        <v>0</v>
      </c>
      <c r="G8" s="95">
        <f>'DOE25'!J9</f>
        <v>0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504318.73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1234982.3799999999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152370.07000000007</v>
      </c>
      <c r="D12" s="95">
        <f>'DOE25'!G13</f>
        <v>19879.04</v>
      </c>
      <c r="E12" s="95">
        <f>'DOE25'!H13</f>
        <v>771899.25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0</v>
      </c>
      <c r="D13" s="95">
        <f>'DOE25'!G14</f>
        <v>144435.26999999999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20520.03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4900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2664738.2000000002</v>
      </c>
      <c r="D18" s="41">
        <f>SUM(D8:D17)</f>
        <v>529661.64</v>
      </c>
      <c r="E18" s="41">
        <f>SUM(E8:E17)</f>
        <v>815866.9</v>
      </c>
      <c r="F18" s="41">
        <f>SUM(F8:F17)</f>
        <v>0</v>
      </c>
      <c r="G18" s="41">
        <f>SUM(G8:G17)</f>
        <v>504318.73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0</v>
      </c>
      <c r="D21" s="95">
        <f>'DOE25'!G22</f>
        <v>462777.36</v>
      </c>
      <c r="E21" s="95">
        <f>'DOE25'!H22</f>
        <v>772205.02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29073.07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46309.41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157018.56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12395</v>
      </c>
      <c r="D29" s="95">
        <f>'DOE25'!G30</f>
        <v>26100.53</v>
      </c>
      <c r="E29" s="95">
        <f>'DOE25'!H30</f>
        <v>8597.76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244796.04</v>
      </c>
      <c r="D31" s="41">
        <f>SUM(D21:D30)</f>
        <v>488877.89</v>
      </c>
      <c r="E31" s="41">
        <f>SUM(E21:E30)</f>
        <v>780802.78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20520.03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4900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200000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226583.41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20263.72</v>
      </c>
      <c r="E46" s="95">
        <f>'DOE25'!H47</f>
        <v>35064.120000000003</v>
      </c>
      <c r="F46" s="95">
        <f>'DOE25'!I47</f>
        <v>0</v>
      </c>
      <c r="G46" s="95">
        <f>'DOE25'!J47</f>
        <v>504318.73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1988458.75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2419942.16</v>
      </c>
      <c r="D49" s="41">
        <f>SUM(D34:D48)</f>
        <v>40783.75</v>
      </c>
      <c r="E49" s="41">
        <f>SUM(E34:E48)</f>
        <v>35064.120000000003</v>
      </c>
      <c r="F49" s="41">
        <f>SUM(F34:F48)</f>
        <v>0</v>
      </c>
      <c r="G49" s="41">
        <f>SUM(G34:G48)</f>
        <v>504318.73</v>
      </c>
      <c r="H49" s="124"/>
      <c r="I49" s="124"/>
    </row>
    <row r="50" spans="1:9" ht="12" thickTop="1">
      <c r="A50" s="38" t="s">
        <v>895</v>
      </c>
      <c r="B50" s="2"/>
      <c r="C50" s="41">
        <f>C49+C31</f>
        <v>2664738.2000000002</v>
      </c>
      <c r="D50" s="41">
        <f>D49+D31</f>
        <v>529661.64</v>
      </c>
      <c r="E50" s="41">
        <f>E49+E31</f>
        <v>815866.9</v>
      </c>
      <c r="F50" s="41">
        <f>F49+F31</f>
        <v>0</v>
      </c>
      <c r="G50" s="41">
        <f>G49+G31</f>
        <v>504318.73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36868994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281465.38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4511.93</v>
      </c>
      <c r="D58" s="95">
        <f>'DOE25'!G95</f>
        <v>353.05</v>
      </c>
      <c r="E58" s="95">
        <f>'DOE25'!H95</f>
        <v>21.59</v>
      </c>
      <c r="F58" s="95">
        <f>'DOE25'!I95</f>
        <v>0</v>
      </c>
      <c r="G58" s="95">
        <f>'DOE25'!J95</f>
        <v>367.44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1084383.1299999999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240787.83</v>
      </c>
      <c r="D60" s="95">
        <f>SUM('DOE25'!G97:G109)</f>
        <v>0</v>
      </c>
      <c r="E60" s="95">
        <f>SUM('DOE25'!H97:H109)</f>
        <v>84365.040000000008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526765.14</v>
      </c>
      <c r="D61" s="130">
        <f>SUM(D56:D60)</f>
        <v>1084736.18</v>
      </c>
      <c r="E61" s="130">
        <f>SUM(E56:E60)</f>
        <v>84386.63</v>
      </c>
      <c r="F61" s="130">
        <f>SUM(F56:F60)</f>
        <v>0</v>
      </c>
      <c r="G61" s="130">
        <f>SUM(G56:G60)</f>
        <v>367.44</v>
      </c>
      <c r="H61"/>
      <c r="I61"/>
    </row>
    <row r="62" spans="1:9" ht="12" thickTop="1">
      <c r="A62" s="29" t="s">
        <v>175</v>
      </c>
      <c r="B62" s="6"/>
      <c r="C62" s="22">
        <f>C55+C61</f>
        <v>37395759.140000001</v>
      </c>
      <c r="D62" s="22">
        <f>D55+D61</f>
        <v>1084736.18</v>
      </c>
      <c r="E62" s="22">
        <f>E55+E61</f>
        <v>84386.63</v>
      </c>
      <c r="F62" s="22">
        <f>F55+F61</f>
        <v>0</v>
      </c>
      <c r="G62" s="22">
        <f>G55+G61</f>
        <v>367.44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11610325.43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6363292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10059.57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55090.74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18038767.739999998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1103810.6599999999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563437.52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11771.03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18826.57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1679019.21</v>
      </c>
      <c r="D77" s="130">
        <f>SUM(D71:D76)</f>
        <v>18826.57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19717786.949999999</v>
      </c>
      <c r="D80" s="130">
        <f>SUM(D78:D79)+D77+D69</f>
        <v>18826.57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512043.64</v>
      </c>
      <c r="D87" s="95">
        <f>SUM('DOE25'!G152:G160)</f>
        <v>436477.67000000004</v>
      </c>
      <c r="E87" s="95">
        <f>SUM('DOE25'!H152:H160)</f>
        <v>1774623.53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512043.64</v>
      </c>
      <c r="D90" s="131">
        <f>SUM(D84:D89)</f>
        <v>436477.67000000004</v>
      </c>
      <c r="E90" s="131">
        <f>SUM(E84:E89)</f>
        <v>1774623.53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200000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200000</v>
      </c>
    </row>
    <row r="103" spans="1:7" ht="12.75" thickTop="1" thickBot="1">
      <c r="A103" s="33" t="s">
        <v>765</v>
      </c>
      <c r="C103" s="86">
        <f>C62+C80+C90+C102</f>
        <v>57625589.730000004</v>
      </c>
      <c r="D103" s="86">
        <f>D62+D80+D90+D102</f>
        <v>1540040.42</v>
      </c>
      <c r="E103" s="86">
        <f>E62+E80+E90+E102</f>
        <v>1859010.1600000001</v>
      </c>
      <c r="F103" s="86">
        <f>F62+F80+F90+F102</f>
        <v>0</v>
      </c>
      <c r="G103" s="86">
        <f>G62+G80+G102</f>
        <v>200367.44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25917836.550000004</v>
      </c>
      <c r="D108" s="24" t="s">
        <v>289</v>
      </c>
      <c r="E108" s="95">
        <f>('DOE25'!L275)+('DOE25'!L294)+('DOE25'!L313)</f>
        <v>447689.79999999993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10079019.710000001</v>
      </c>
      <c r="D109" s="24" t="s">
        <v>289</v>
      </c>
      <c r="E109" s="95">
        <f>('DOE25'!L276)+('DOE25'!L295)+('DOE25'!L314)</f>
        <v>1143242.5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47929.39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1132520.74</v>
      </c>
      <c r="D111" s="24" t="s">
        <v>289</v>
      </c>
      <c r="E111" s="95">
        <f>+('DOE25'!L278)+('DOE25'!L297)+('DOE25'!L316)</f>
        <v>2865.7199999999993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219233.47</v>
      </c>
      <c r="D113" s="24" t="s">
        <v>289</v>
      </c>
      <c r="E113" s="95">
        <f>+ SUM('DOE25'!L332:L334)</f>
        <v>73814.819999999992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37396539.860000007</v>
      </c>
      <c r="D114" s="86">
        <f>SUM(D108:D113)</f>
        <v>0</v>
      </c>
      <c r="E114" s="86">
        <f>SUM(E108:E113)</f>
        <v>1667612.8399999999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4374109.3154364666</v>
      </c>
      <c r="D117" s="24" t="s">
        <v>289</v>
      </c>
      <c r="E117" s="95">
        <f>+('DOE25'!L280)+('DOE25'!L299)+('DOE25'!L318)</f>
        <v>19331.149999999998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971940.03667605179</v>
      </c>
      <c r="D118" s="24" t="s">
        <v>289</v>
      </c>
      <c r="E118" s="95">
        <f>+('DOE25'!L281)+('DOE25'!L300)+('DOE25'!L319)</f>
        <v>97138.709999999992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1969946.4948654259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3310379.4370908691</v>
      </c>
      <c r="D120" s="24" t="s">
        <v>289</v>
      </c>
      <c r="E120" s="95">
        <f>+('DOE25'!L283)+('DOE25'!L302)+('DOE25'!L321)</f>
        <v>39342.479999999996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49598.572659790247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3764422.8773072902</v>
      </c>
      <c r="D122" s="24" t="s">
        <v>289</v>
      </c>
      <c r="E122" s="95">
        <f>+('DOE25'!L285)+('DOE25'!L304)+('DOE25'!L323)</f>
        <v>35506.469999999994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2488363.7352959877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324172.47370318731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1533974.5099999998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17252932.94303507</v>
      </c>
      <c r="D127" s="86">
        <f>SUM(D117:D126)</f>
        <v>1533974.5099999998</v>
      </c>
      <c r="E127" s="86">
        <f>SUM(E117:E126)</f>
        <v>191318.80999999997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630328.15999999992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1600000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714000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200367.44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-367.44000000000233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3144328.16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>
      <c r="A144" s="33" t="s">
        <v>244</v>
      </c>
      <c r="C144" s="86">
        <f>(C114+C127+C143)</f>
        <v>57793800.963035077</v>
      </c>
      <c r="D144" s="86">
        <f>(D114+D127+D143)</f>
        <v>1533974.5099999998</v>
      </c>
      <c r="E144" s="86">
        <f>(E114+E127+E143)</f>
        <v>1858931.65</v>
      </c>
      <c r="F144" s="86">
        <f>(F114+F127+F143)</f>
        <v>0</v>
      </c>
      <c r="G144" s="86">
        <f>(G114+G127+G143)</f>
        <v>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20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 t="str">
        <f>'DOE25'!F490</f>
        <v>07/1999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 t="str">
        <f>'DOE25'!F491</f>
        <v>08/2019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32000000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 t="str">
        <f>'DOE25'!F493</f>
        <v xml:space="preserve">        4.25 to 5.25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14400000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14400000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1600000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1600000</v>
      </c>
    </row>
    <row r="158" spans="1:9">
      <c r="A158" s="22" t="s">
        <v>35</v>
      </c>
      <c r="B158" s="137">
        <f>'DOE25'!F497</f>
        <v>12800000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12800000</v>
      </c>
    </row>
    <row r="159" spans="1:9">
      <c r="A159" s="22" t="s">
        <v>36</v>
      </c>
      <c r="B159" s="137">
        <f>'DOE25'!F498</f>
        <v>2688000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2688000</v>
      </c>
    </row>
    <row r="160" spans="1:9">
      <c r="A160" s="22" t="s">
        <v>37</v>
      </c>
      <c r="B160" s="137">
        <f>'DOE25'!F499</f>
        <v>15488000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15488000</v>
      </c>
    </row>
    <row r="161" spans="1:7">
      <c r="A161" s="22" t="s">
        <v>38</v>
      </c>
      <c r="B161" s="137">
        <f>'DOE25'!F500</f>
        <v>1600000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1600000</v>
      </c>
    </row>
    <row r="162" spans="1:7">
      <c r="A162" s="22" t="s">
        <v>39</v>
      </c>
      <c r="B162" s="137">
        <f>'DOE25'!F501</f>
        <v>630000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630000</v>
      </c>
    </row>
    <row r="163" spans="1:7">
      <c r="A163" s="22" t="s">
        <v>246</v>
      </c>
      <c r="B163" s="137">
        <f>'DOE25'!F502</f>
        <v>2230000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2230000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81" t="s">
        <v>740</v>
      </c>
      <c r="B1" s="281"/>
      <c r="C1" s="281"/>
      <c r="D1" s="281"/>
    </row>
    <row r="2" spans="1:4">
      <c r="A2" s="187" t="s">
        <v>717</v>
      </c>
      <c r="B2" s="186" t="str">
        <f>'DOE25'!A2</f>
        <v>Timberlane Regional School District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13480</v>
      </c>
    </row>
    <row r="5" spans="1:4">
      <c r="B5" t="s">
        <v>704</v>
      </c>
      <c r="C5" s="179">
        <f>IF('DOE25'!G664+'DOE25'!G669=0,0,ROUND('DOE25'!G671,0))</f>
        <v>13147</v>
      </c>
    </row>
    <row r="6" spans="1:4">
      <c r="B6" t="s">
        <v>62</v>
      </c>
      <c r="C6" s="179">
        <f>IF('DOE25'!H664+'DOE25'!H669=0,0,ROUND('DOE25'!H671,0))</f>
        <v>12364</v>
      </c>
    </row>
    <row r="7" spans="1:4">
      <c r="B7" t="s">
        <v>705</v>
      </c>
      <c r="C7" s="179">
        <f>IF('DOE25'!I664+'DOE25'!I669=0,0,ROUND('DOE25'!I671,0))</f>
        <v>13005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26365526</v>
      </c>
      <c r="D10" s="182">
        <f>ROUND((C10/$C$28)*100,1)</f>
        <v>45.7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11222262</v>
      </c>
      <c r="D11" s="182">
        <f>ROUND((C11/$C$28)*100,1)</f>
        <v>19.5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47929</v>
      </c>
      <c r="D12" s="182">
        <f>ROUND((C12/$C$28)*100,1)</f>
        <v>0.1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1135386</v>
      </c>
      <c r="D13" s="182">
        <f>ROUND((C13/$C$28)*100,1)</f>
        <v>2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4393440</v>
      </c>
      <c r="D15" s="182">
        <f t="shared" ref="D15:D27" si="0">ROUND((C15/$C$28)*100,1)</f>
        <v>7.6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1069079</v>
      </c>
      <c r="D16" s="182">
        <f t="shared" si="0"/>
        <v>1.9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2294119</v>
      </c>
      <c r="D17" s="182">
        <f t="shared" si="0"/>
        <v>4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3349722</v>
      </c>
      <c r="D18" s="182">
        <f t="shared" si="0"/>
        <v>5.8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49599</v>
      </c>
      <c r="D19" s="182">
        <f t="shared" si="0"/>
        <v>0.1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3799929</v>
      </c>
      <c r="D20" s="182">
        <f t="shared" si="0"/>
        <v>6.6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2488364</v>
      </c>
      <c r="D21" s="182">
        <f t="shared" si="0"/>
        <v>4.3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293048</v>
      </c>
      <c r="D24" s="182">
        <f t="shared" si="0"/>
        <v>0.5</v>
      </c>
    </row>
    <row r="25" spans="1:4">
      <c r="A25">
        <v>5120</v>
      </c>
      <c r="B25" t="s">
        <v>720</v>
      </c>
      <c r="C25" s="179">
        <f>ROUND('DOE25'!L260+'DOE25'!L341,0)</f>
        <v>714000</v>
      </c>
      <c r="D25" s="182">
        <f t="shared" si="0"/>
        <v>1.2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449591.87000000011</v>
      </c>
      <c r="D27" s="182">
        <f t="shared" si="0"/>
        <v>0.8</v>
      </c>
    </row>
    <row r="28" spans="1:4">
      <c r="B28" s="187" t="s">
        <v>723</v>
      </c>
      <c r="C28" s="180">
        <f>SUM(C10:C27)</f>
        <v>57671994.869999997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630328</v>
      </c>
    </row>
    <row r="30" spans="1:4">
      <c r="B30" s="187" t="s">
        <v>729</v>
      </c>
      <c r="C30" s="180">
        <f>SUM(C28:C29)</f>
        <v>58302322.869999997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1600000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36868994</v>
      </c>
      <c r="D35" s="182">
        <f t="shared" ref="D35:D40" si="1">ROUND((C35/$C$41)*100,1)</f>
        <v>61.5</v>
      </c>
    </row>
    <row r="36" spans="1:4">
      <c r="B36" s="185" t="s">
        <v>743</v>
      </c>
      <c r="C36" s="179">
        <f>SUM('DOE25'!F111:J111)-SUM('DOE25'!G96:G109)+('DOE25'!F173+'DOE25'!F174+'DOE25'!I173+'DOE25'!I174)-C35</f>
        <v>611872.25999999791</v>
      </c>
      <c r="D36" s="182">
        <f t="shared" si="1"/>
        <v>1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17983677</v>
      </c>
      <c r="D37" s="182">
        <f t="shared" si="1"/>
        <v>30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1752937</v>
      </c>
      <c r="D38" s="182">
        <f t="shared" si="1"/>
        <v>2.9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2723145</v>
      </c>
      <c r="D39" s="182">
        <f t="shared" si="1"/>
        <v>4.5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59940625.259999998</v>
      </c>
      <c r="D41" s="184">
        <f>SUM(D35:D40)</f>
        <v>99.9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>
      <c r="A2" s="298" t="s">
        <v>767</v>
      </c>
      <c r="B2" s="299"/>
      <c r="C2" s="299"/>
      <c r="D2" s="299"/>
      <c r="E2" s="299"/>
      <c r="F2" s="292" t="str">
        <f>'DOE25'!A2</f>
        <v>Timberlane Regional School District</v>
      </c>
      <c r="G2" s="293"/>
      <c r="H2" s="293"/>
      <c r="I2" s="293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>
      <c r="A4" s="219"/>
      <c r="B4" s="220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>
      <c r="A30" s="219"/>
      <c r="B30" s="220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>
      <c r="A31" s="219"/>
      <c r="B31" s="220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>
      <c r="A32" s="219"/>
      <c r="B32" s="220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9"/>
      <c r="AO32" s="220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9"/>
      <c r="BB32" s="220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9"/>
      <c r="BO32" s="220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9"/>
      <c r="CB32" s="220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9"/>
      <c r="CO32" s="220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9"/>
      <c r="DB32" s="220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9"/>
      <c r="DO32" s="220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9"/>
      <c r="EB32" s="220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9"/>
      <c r="EO32" s="220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9"/>
      <c r="FB32" s="220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9"/>
      <c r="FO32" s="220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9"/>
      <c r="GB32" s="220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9"/>
      <c r="GO32" s="220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9"/>
      <c r="HB32" s="220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9"/>
      <c r="HO32" s="220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9"/>
      <c r="IB32" s="220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9"/>
      <c r="IO32" s="220"/>
      <c r="IP32" s="282"/>
      <c r="IQ32" s="282"/>
      <c r="IR32" s="282"/>
      <c r="IS32" s="282"/>
      <c r="IT32" s="282"/>
      <c r="IU32" s="282"/>
      <c r="IV32" s="282"/>
    </row>
    <row r="33" spans="1:256">
      <c r="A33" s="219"/>
      <c r="B33" s="220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>
      <c r="A39" s="219"/>
      <c r="B39" s="220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>
      <c r="A40" s="219"/>
      <c r="B40" s="220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>
      <c r="A41" s="219"/>
      <c r="B41" s="220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>
      <c r="A60" s="219"/>
      <c r="B60" s="220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>
      <c r="A61" s="219"/>
      <c r="B61" s="220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>
      <c r="A62" s="219"/>
      <c r="B62" s="220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>
      <c r="A63" s="219"/>
      <c r="B63" s="220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>
      <c r="A64" s="219"/>
      <c r="B64" s="220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>
      <c r="A65" s="219"/>
      <c r="B65" s="220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>
      <c r="A66" s="219"/>
      <c r="B66" s="220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>
      <c r="A67" s="219"/>
      <c r="B67" s="220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>
      <c r="A68" s="219"/>
      <c r="B68" s="220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>
      <c r="A69" s="219"/>
      <c r="B69" s="220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>
      <c r="A70" s="221"/>
      <c r="B70" s="222"/>
      <c r="C70" s="285"/>
      <c r="D70" s="285"/>
      <c r="E70" s="285"/>
      <c r="F70" s="285"/>
      <c r="G70" s="285"/>
      <c r="H70" s="285"/>
      <c r="I70" s="285"/>
      <c r="J70" s="285"/>
      <c r="K70" s="285"/>
      <c r="L70" s="285"/>
      <c r="M70" s="286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87" t="s">
        <v>848</v>
      </c>
      <c r="B72" s="287"/>
      <c r="C72" s="287"/>
      <c r="D72" s="287"/>
      <c r="E72" s="287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>
      <c r="A74" s="212"/>
      <c r="B74" s="212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>
      <c r="A75" s="212"/>
      <c r="B75" s="212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>
      <c r="A76" s="212"/>
      <c r="B76" s="212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>
      <c r="A77" s="212"/>
      <c r="B77" s="212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>
      <c r="A78" s="212"/>
      <c r="B78" s="212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>
      <c r="A79" s="212"/>
      <c r="B79" s="212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>
      <c r="A80" s="212"/>
      <c r="B80" s="212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>
      <c r="A81" s="212"/>
      <c r="B81" s="212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>
      <c r="A82" s="212"/>
      <c r="B82" s="212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>
      <c r="A83" s="212"/>
      <c r="B83" s="212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>
      <c r="A84" s="212"/>
      <c r="B84" s="212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>
      <c r="A85" s="212"/>
      <c r="B85" s="212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>
      <c r="A86" s="212"/>
      <c r="B86" s="212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>
      <c r="A87" s="212"/>
      <c r="B87" s="212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>
      <c r="A88" s="212"/>
      <c r="B88" s="212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>
      <c r="A89" s="212"/>
      <c r="B89" s="212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>
      <c r="A90" s="212"/>
      <c r="B90" s="212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BF0A" sheet="1" objects="1" scenarios="1"/>
  <mergeCells count="223"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2012-09-24T12:44:01Z</cp:lastPrinted>
  <dcterms:created xsi:type="dcterms:W3CDTF">1997-12-04T19:04:30Z</dcterms:created>
  <dcterms:modified xsi:type="dcterms:W3CDTF">2012-11-21T16:13:13Z</dcterms:modified>
</cp:coreProperties>
</file>