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90" windowWidth="12735" windowHeight="64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154" i="1" l="1"/>
  <c r="G12" i="13" l="1"/>
  <c r="G8" i="13"/>
  <c r="H153" i="1" l="1"/>
  <c r="G610" i="1"/>
  <c r="J603" i="1"/>
  <c r="J591" i="1"/>
  <c r="J590" i="1" s="1"/>
  <c r="I590" i="1"/>
  <c r="H591" i="1"/>
  <c r="H590" i="1" s="1"/>
  <c r="G542" i="1"/>
  <c r="G540" i="1"/>
  <c r="K520" i="1" l="1"/>
  <c r="H391" i="1"/>
  <c r="G520" i="1" l="1"/>
  <c r="J520" i="1"/>
  <c r="I520" i="1"/>
  <c r="H520" i="1"/>
  <c r="F520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C113" i="2" s="1"/>
  <c r="F18" i="13"/>
  <c r="G18" i="13"/>
  <c r="L251" i="1"/>
  <c r="F19" i="13"/>
  <c r="G19" i="13"/>
  <c r="L252" i="1"/>
  <c r="F29" i="13"/>
  <c r="G29" i="13"/>
  <c r="L357" i="1"/>
  <c r="H660" i="1" s="1"/>
  <c r="L358" i="1"/>
  <c r="L359" i="1"/>
  <c r="I366" i="1"/>
  <c r="I368" i="1" s="1"/>
  <c r="H633" i="1" s="1"/>
  <c r="J289" i="1"/>
  <c r="H603" i="1" s="1"/>
  <c r="H604" i="1" s="1"/>
  <c r="J308" i="1"/>
  <c r="J327" i="1"/>
  <c r="K308" i="1"/>
  <c r="K327" i="1"/>
  <c r="L275" i="1"/>
  <c r="L277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E119" i="2" s="1"/>
  <c r="L321" i="1"/>
  <c r="L322" i="1"/>
  <c r="L323" i="1"/>
  <c r="L324" i="1"/>
  <c r="L325" i="1"/>
  <c r="L332" i="1"/>
  <c r="L333" i="1"/>
  <c r="E113" i="2" s="1"/>
  <c r="L334" i="1"/>
  <c r="L259" i="1"/>
  <c r="L260" i="1"/>
  <c r="C25" i="10" s="1"/>
  <c r="L340" i="1"/>
  <c r="E130" i="2" s="1"/>
  <c r="L341" i="1"/>
  <c r="L254" i="1"/>
  <c r="L335" i="1"/>
  <c r="C11" i="13"/>
  <c r="C10" i="13"/>
  <c r="L360" i="1"/>
  <c r="B4" i="12"/>
  <c r="B36" i="12"/>
  <c r="C36" i="12"/>
  <c r="B40" i="12"/>
  <c r="B27" i="12"/>
  <c r="C27" i="12"/>
  <c r="B31" i="12"/>
  <c r="C31" i="12"/>
  <c r="B9" i="12"/>
  <c r="B13" i="12"/>
  <c r="C13" i="12" s="1"/>
  <c r="C22" i="12" s="1"/>
  <c r="C9" i="12"/>
  <c r="B18" i="12"/>
  <c r="B22" i="12"/>
  <c r="C18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1" i="2" s="1"/>
  <c r="G60" i="2"/>
  <c r="F2" i="11"/>
  <c r="L612" i="1"/>
  <c r="H662" i="1" s="1"/>
  <c r="L611" i="1"/>
  <c r="G662" i="1" s="1"/>
  <c r="L610" i="1"/>
  <c r="C40" i="10"/>
  <c r="F59" i="1"/>
  <c r="C55" i="2" s="1"/>
  <c r="G59" i="1"/>
  <c r="D55" i="2" s="1"/>
  <c r="H59" i="1"/>
  <c r="I59" i="1"/>
  <c r="F78" i="1"/>
  <c r="C56" i="2" s="1"/>
  <c r="F93" i="1"/>
  <c r="F110" i="1"/>
  <c r="G110" i="1"/>
  <c r="H78" i="1"/>
  <c r="E56" i="2" s="1"/>
  <c r="H93" i="1"/>
  <c r="E57" i="2" s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C84" i="2" s="1"/>
  <c r="F161" i="1"/>
  <c r="G146" i="1"/>
  <c r="D84" i="2" s="1"/>
  <c r="G161" i="1"/>
  <c r="H146" i="1"/>
  <c r="E84" i="2" s="1"/>
  <c r="H161" i="1"/>
  <c r="I146" i="1"/>
  <c r="F84" i="2" s="1"/>
  <c r="I161" i="1"/>
  <c r="L249" i="1"/>
  <c r="C112" i="2" s="1"/>
  <c r="L331" i="1"/>
  <c r="E112" i="2" s="1"/>
  <c r="L253" i="1"/>
  <c r="L267" i="1"/>
  <c r="L268" i="1"/>
  <c r="C142" i="2" s="1"/>
  <c r="L348" i="1"/>
  <c r="E141" i="2" s="1"/>
  <c r="L349" i="1"/>
  <c r="E142" i="2" s="1"/>
  <c r="I664" i="1"/>
  <c r="I669" i="1"/>
  <c r="I668" i="1"/>
  <c r="C6" i="10"/>
  <c r="C5" i="10"/>
  <c r="C42" i="10"/>
  <c r="L373" i="1"/>
  <c r="L374" i="1"/>
  <c r="L375" i="1"/>
  <c r="L376" i="1"/>
  <c r="L377" i="1"/>
  <c r="L378" i="1"/>
  <c r="L379" i="1"/>
  <c r="B2" i="10"/>
  <c r="L343" i="1"/>
  <c r="E133" i="2" s="1"/>
  <c r="L344" i="1"/>
  <c r="E134" i="2" s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K269" i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E55" i="2"/>
  <c r="F55" i="2"/>
  <c r="C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D114" i="2"/>
  <c r="F114" i="2"/>
  <c r="G114" i="2"/>
  <c r="E117" i="2"/>
  <c r="E123" i="2"/>
  <c r="F127" i="2"/>
  <c r="G127" i="2"/>
  <c r="C129" i="2"/>
  <c r="E129" i="2"/>
  <c r="D133" i="2"/>
  <c r="D143" i="2" s="1"/>
  <c r="F133" i="2"/>
  <c r="K418" i="1"/>
  <c r="K426" i="1"/>
  <c r="K432" i="1"/>
  <c r="L262" i="1"/>
  <c r="C134" i="2" s="1"/>
  <c r="L263" i="1"/>
  <c r="C135" i="2" s="1"/>
  <c r="L264" i="1"/>
  <c r="C136" i="2" s="1"/>
  <c r="E136" i="2"/>
  <c r="C141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G639" i="1" s="1"/>
  <c r="H445" i="1"/>
  <c r="G640" i="1" s="1"/>
  <c r="F451" i="1"/>
  <c r="G451" i="1"/>
  <c r="H451" i="1"/>
  <c r="H460" i="1" s="1"/>
  <c r="H640" i="1" s="1"/>
  <c r="I451" i="1"/>
  <c r="F459" i="1"/>
  <c r="F460" i="1" s="1"/>
  <c r="H638" i="1" s="1"/>
  <c r="G459" i="1"/>
  <c r="H459" i="1"/>
  <c r="G460" i="1"/>
  <c r="H639" i="1" s="1"/>
  <c r="I469" i="1"/>
  <c r="I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I604" i="1"/>
  <c r="J604" i="1"/>
  <c r="F613" i="1"/>
  <c r="G613" i="1"/>
  <c r="H613" i="1"/>
  <c r="I613" i="1"/>
  <c r="J613" i="1"/>
  <c r="K613" i="1"/>
  <c r="G619" i="1"/>
  <c r="J619" i="1" s="1"/>
  <c r="G624" i="1"/>
  <c r="H629" i="1"/>
  <c r="H635" i="1"/>
  <c r="G638" i="1"/>
  <c r="G642" i="1"/>
  <c r="G643" i="1"/>
  <c r="G651" i="1"/>
  <c r="H651" i="1"/>
  <c r="G652" i="1"/>
  <c r="H652" i="1"/>
  <c r="J652" i="1" s="1"/>
  <c r="G653" i="1"/>
  <c r="H653" i="1"/>
  <c r="H654" i="1"/>
  <c r="G8" i="2"/>
  <c r="F49" i="2"/>
  <c r="C40" i="12" l="1"/>
  <c r="A40" i="12" s="1"/>
  <c r="F662" i="1"/>
  <c r="I662" i="1" s="1"/>
  <c r="D102" i="2"/>
  <c r="F61" i="2"/>
  <c r="F62" i="2" s="1"/>
  <c r="H51" i="1"/>
  <c r="H618" i="1" s="1"/>
  <c r="J618" i="1" s="1"/>
  <c r="I191" i="1"/>
  <c r="L406" i="1"/>
  <c r="C139" i="2" s="1"/>
  <c r="E108" i="2"/>
  <c r="G623" i="1"/>
  <c r="G111" i="1"/>
  <c r="E110" i="2"/>
  <c r="J653" i="1"/>
  <c r="J651" i="1"/>
  <c r="G622" i="1"/>
  <c r="L613" i="1"/>
  <c r="G407" i="1"/>
  <c r="H644" i="1" s="1"/>
  <c r="L255" i="1"/>
  <c r="F191" i="1"/>
  <c r="L269" i="1"/>
  <c r="G168" i="1"/>
  <c r="D90" i="2"/>
  <c r="E61" i="2"/>
  <c r="E62" i="2" s="1"/>
  <c r="E49" i="2"/>
  <c r="G570" i="1"/>
  <c r="L543" i="1"/>
  <c r="L538" i="1"/>
  <c r="L533" i="1"/>
  <c r="F544" i="1"/>
  <c r="L528" i="1"/>
  <c r="C131" i="2"/>
  <c r="L523" i="1"/>
  <c r="K499" i="1"/>
  <c r="G157" i="2"/>
  <c r="K502" i="1"/>
  <c r="G644" i="1"/>
  <c r="J644" i="1" s="1"/>
  <c r="I459" i="1"/>
  <c r="I460" i="1" s="1"/>
  <c r="H641" i="1" s="1"/>
  <c r="I445" i="1"/>
  <c r="G641" i="1" s="1"/>
  <c r="K433" i="1"/>
  <c r="G133" i="2" s="1"/>
  <c r="G143" i="2" s="1"/>
  <c r="G433" i="1"/>
  <c r="I433" i="1"/>
  <c r="F407" i="1"/>
  <c r="H642" i="1" s="1"/>
  <c r="I407" i="1"/>
  <c r="H407" i="1"/>
  <c r="H643" i="1" s="1"/>
  <c r="J643" i="1" s="1"/>
  <c r="F129" i="2"/>
  <c r="F143" i="2" s="1"/>
  <c r="F144" i="2" s="1"/>
  <c r="L381" i="1"/>
  <c r="G635" i="1" s="1"/>
  <c r="L361" i="1"/>
  <c r="F660" i="1"/>
  <c r="D126" i="2"/>
  <c r="D127" i="2" s="1"/>
  <c r="D144" i="2" s="1"/>
  <c r="G660" i="1"/>
  <c r="G634" i="1"/>
  <c r="L350" i="1"/>
  <c r="C32" i="10"/>
  <c r="L327" i="1"/>
  <c r="H661" i="1"/>
  <c r="E124" i="2"/>
  <c r="E120" i="2"/>
  <c r="E122" i="2"/>
  <c r="E118" i="2"/>
  <c r="E121" i="2"/>
  <c r="I337" i="1"/>
  <c r="I351" i="1" s="1"/>
  <c r="F31" i="13"/>
  <c r="J337" i="1"/>
  <c r="J351" i="1" s="1"/>
  <c r="C26" i="10"/>
  <c r="C18" i="10"/>
  <c r="C119" i="2"/>
  <c r="G648" i="1"/>
  <c r="J648" i="1" s="1"/>
  <c r="C117" i="2"/>
  <c r="C15" i="10"/>
  <c r="C24" i="10"/>
  <c r="F661" i="1"/>
  <c r="C122" i="2"/>
  <c r="F102" i="2"/>
  <c r="G102" i="2"/>
  <c r="F90" i="2"/>
  <c r="G80" i="2"/>
  <c r="F77" i="2"/>
  <c r="F80" i="2" s="1"/>
  <c r="C69" i="2"/>
  <c r="D61" i="2"/>
  <c r="D62" i="2" s="1"/>
  <c r="C31" i="2"/>
  <c r="D29" i="13"/>
  <c r="C29" i="13" s="1"/>
  <c r="D17" i="13"/>
  <c r="C17" i="13" s="1"/>
  <c r="G159" i="2"/>
  <c r="D19" i="13"/>
  <c r="C19" i="13" s="1"/>
  <c r="G161" i="2"/>
  <c r="G158" i="2"/>
  <c r="C121" i="2"/>
  <c r="E18" i="2"/>
  <c r="D49" i="2"/>
  <c r="F31" i="2"/>
  <c r="F50" i="2" s="1"/>
  <c r="G163" i="2"/>
  <c r="G160" i="2"/>
  <c r="G156" i="2"/>
  <c r="E143" i="2"/>
  <c r="E102" i="2"/>
  <c r="D31" i="2"/>
  <c r="E31" i="2"/>
  <c r="F18" i="2"/>
  <c r="G162" i="2"/>
  <c r="G155" i="2"/>
  <c r="G144" i="2"/>
  <c r="D18" i="13"/>
  <c r="C18" i="13" s="1"/>
  <c r="H646" i="1"/>
  <c r="D6" i="13"/>
  <c r="C6" i="13" s="1"/>
  <c r="C19" i="10"/>
  <c r="D18" i="2"/>
  <c r="A31" i="12"/>
  <c r="D12" i="13"/>
  <c r="C12" i="13" s="1"/>
  <c r="C120" i="2"/>
  <c r="C102" i="2"/>
  <c r="E90" i="2"/>
  <c r="E13" i="13"/>
  <c r="C13" i="13" s="1"/>
  <c r="G650" i="1"/>
  <c r="J650" i="1" s="1"/>
  <c r="C123" i="2"/>
  <c r="D14" i="13"/>
  <c r="C14" i="13" s="1"/>
  <c r="C16" i="10"/>
  <c r="L246" i="1"/>
  <c r="C17" i="10"/>
  <c r="C20" i="10"/>
  <c r="I256" i="1"/>
  <c r="I270" i="1" s="1"/>
  <c r="K256" i="1"/>
  <c r="K270" i="1" s="1"/>
  <c r="G256" i="1"/>
  <c r="G270" i="1" s="1"/>
  <c r="D7" i="13"/>
  <c r="C7" i="13" s="1"/>
  <c r="C124" i="2"/>
  <c r="C118" i="2"/>
  <c r="G661" i="1"/>
  <c r="C21" i="10"/>
  <c r="D15" i="13"/>
  <c r="C15" i="13" s="1"/>
  <c r="G649" i="1"/>
  <c r="J649" i="1" s="1"/>
  <c r="L228" i="1"/>
  <c r="C12" i="10"/>
  <c r="G33" i="13"/>
  <c r="C108" i="2"/>
  <c r="C109" i="2"/>
  <c r="F256" i="1"/>
  <c r="F270" i="1" s="1"/>
  <c r="C10" i="10"/>
  <c r="C111" i="2"/>
  <c r="L210" i="1"/>
  <c r="C110" i="2"/>
  <c r="A22" i="12"/>
  <c r="C90" i="2"/>
  <c r="C77" i="2"/>
  <c r="F139" i="1"/>
  <c r="C61" i="2"/>
  <c r="C62" i="2" s="1"/>
  <c r="G621" i="1"/>
  <c r="J616" i="1"/>
  <c r="C18" i="2"/>
  <c r="E77" i="2"/>
  <c r="E80" i="2" s="1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J642" i="1"/>
  <c r="I475" i="1"/>
  <c r="H624" i="1" s="1"/>
  <c r="G337" i="1"/>
  <c r="G351" i="1" s="1"/>
  <c r="C23" i="10"/>
  <c r="F168" i="1"/>
  <c r="J139" i="1"/>
  <c r="J192" i="1" s="1"/>
  <c r="F570" i="1"/>
  <c r="H256" i="1"/>
  <c r="H270" i="1" s="1"/>
  <c r="G62" i="2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K544" i="1"/>
  <c r="J617" i="1"/>
  <c r="J551" i="1"/>
  <c r="H551" i="1"/>
  <c r="C29" i="10"/>
  <c r="H139" i="1"/>
  <c r="L400" i="1"/>
  <c r="C138" i="2" s="1"/>
  <c r="L392" i="1"/>
  <c r="A13" i="12"/>
  <c r="F22" i="13"/>
  <c r="H25" i="13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F551" i="1"/>
  <c r="C35" i="10"/>
  <c r="L308" i="1"/>
  <c r="D5" i="13"/>
  <c r="E16" i="13"/>
  <c r="J624" i="1"/>
  <c r="C49" i="2"/>
  <c r="J654" i="1"/>
  <c r="L569" i="1"/>
  <c r="I570" i="1"/>
  <c r="I544" i="1"/>
  <c r="J635" i="1"/>
  <c r="G36" i="2"/>
  <c r="G49" i="2" s="1"/>
  <c r="J50" i="1"/>
  <c r="L564" i="1"/>
  <c r="G544" i="1"/>
  <c r="H544" i="1"/>
  <c r="K550" i="1"/>
  <c r="C27" i="10" l="1"/>
  <c r="G471" i="1"/>
  <c r="I192" i="1"/>
  <c r="G629" i="1" s="1"/>
  <c r="J629" i="1" s="1"/>
  <c r="H192" i="1"/>
  <c r="G192" i="1"/>
  <c r="E50" i="2"/>
  <c r="C39" i="10"/>
  <c r="E103" i="2"/>
  <c r="F103" i="2"/>
  <c r="L570" i="1"/>
  <c r="L544" i="1"/>
  <c r="H647" i="1"/>
  <c r="J647" i="1" s="1"/>
  <c r="K551" i="1"/>
  <c r="G103" i="2"/>
  <c r="H634" i="1"/>
  <c r="J634" i="1" s="1"/>
  <c r="G473" i="1"/>
  <c r="J641" i="1"/>
  <c r="G50" i="2"/>
  <c r="L433" i="1"/>
  <c r="I660" i="1"/>
  <c r="H659" i="1"/>
  <c r="H663" i="1" s="1"/>
  <c r="H666" i="1" s="1"/>
  <c r="E127" i="2"/>
  <c r="C80" i="2"/>
  <c r="C103" i="2" s="1"/>
  <c r="I661" i="1"/>
  <c r="J646" i="1"/>
  <c r="C50" i="2"/>
  <c r="D103" i="2"/>
  <c r="D50" i="2"/>
  <c r="C127" i="2"/>
  <c r="J270" i="1"/>
  <c r="L256" i="1"/>
  <c r="L270" i="1" s="1"/>
  <c r="F471" i="1" s="1"/>
  <c r="C114" i="2"/>
  <c r="C38" i="10"/>
  <c r="C36" i="10"/>
  <c r="F192" i="1"/>
  <c r="C5" i="13"/>
  <c r="C22" i="13"/>
  <c r="F33" i="13"/>
  <c r="C137" i="2"/>
  <c r="C140" i="2" s="1"/>
  <c r="C143" i="2" s="1"/>
  <c r="L407" i="1"/>
  <c r="J467" i="1" s="1"/>
  <c r="C16" i="13"/>
  <c r="G659" i="1"/>
  <c r="C25" i="13"/>
  <c r="H33" i="13"/>
  <c r="G630" i="1"/>
  <c r="G645" i="1"/>
  <c r="G625" i="1"/>
  <c r="J51" i="1"/>
  <c r="H620" i="1" s="1"/>
  <c r="J620" i="1" s="1"/>
  <c r="G627" i="1" l="1"/>
  <c r="G467" i="1"/>
  <c r="G628" i="1"/>
  <c r="H467" i="1"/>
  <c r="G637" i="1"/>
  <c r="J471" i="1"/>
  <c r="G626" i="1"/>
  <c r="F467" i="1"/>
  <c r="F473" i="1"/>
  <c r="H631" i="1"/>
  <c r="J469" i="1"/>
  <c r="H630" i="1"/>
  <c r="J630" i="1" s="1"/>
  <c r="H636" i="1"/>
  <c r="H671" i="1"/>
  <c r="G631" i="1"/>
  <c r="J631" i="1" s="1"/>
  <c r="L278" i="1"/>
  <c r="C144" i="2"/>
  <c r="C41" i="10"/>
  <c r="D39" i="10" s="1"/>
  <c r="G636" i="1"/>
  <c r="J636" i="1" s="1"/>
  <c r="H645" i="1"/>
  <c r="J645" i="1" s="1"/>
  <c r="G663" i="1"/>
  <c r="J627" i="1" l="1"/>
  <c r="H627" i="1"/>
  <c r="G469" i="1"/>
  <c r="G475" i="1" s="1"/>
  <c r="H622" i="1" s="1"/>
  <c r="J622" i="1" s="1"/>
  <c r="H469" i="1"/>
  <c r="H628" i="1"/>
  <c r="J628" i="1" s="1"/>
  <c r="J473" i="1"/>
  <c r="J475" i="1" s="1"/>
  <c r="H625" i="1" s="1"/>
  <c r="J625" i="1" s="1"/>
  <c r="H637" i="1"/>
  <c r="J637" i="1" s="1"/>
  <c r="H626" i="1"/>
  <c r="J626" i="1" s="1"/>
  <c r="F469" i="1"/>
  <c r="F475" i="1" s="1"/>
  <c r="H621" i="1" s="1"/>
  <c r="J621" i="1" s="1"/>
  <c r="E111" i="2"/>
  <c r="C13" i="10"/>
  <c r="K289" i="1"/>
  <c r="L276" i="1"/>
  <c r="D40" i="10"/>
  <c r="D35" i="10"/>
  <c r="D38" i="10"/>
  <c r="D37" i="10"/>
  <c r="D36" i="10"/>
  <c r="G671" i="1"/>
  <c r="G666" i="1"/>
  <c r="E109" i="2" l="1"/>
  <c r="E114" i="2" s="1"/>
  <c r="E144" i="2" s="1"/>
  <c r="L289" i="1"/>
  <c r="C11" i="10"/>
  <c r="G31" i="13"/>
  <c r="K337" i="1"/>
  <c r="K351" i="1" s="1"/>
  <c r="D41" i="10"/>
  <c r="C28" i="10" l="1"/>
  <c r="D11" i="10" s="1"/>
  <c r="D31" i="13"/>
  <c r="C31" i="13" s="1"/>
  <c r="L337" i="1"/>
  <c r="L351" i="1" s="1"/>
  <c r="F659" i="1"/>
  <c r="G632" i="1" l="1"/>
  <c r="H471" i="1"/>
  <c r="F663" i="1"/>
  <c r="I659" i="1"/>
  <c r="I663" i="1" s="1"/>
  <c r="D23" i="10"/>
  <c r="C30" i="10"/>
  <c r="D18" i="10"/>
  <c r="D17" i="10"/>
  <c r="D15" i="10"/>
  <c r="D24" i="10"/>
  <c r="D22" i="10"/>
  <c r="D12" i="10"/>
  <c r="D10" i="10"/>
  <c r="D21" i="10"/>
  <c r="D27" i="10"/>
  <c r="D20" i="10"/>
  <c r="D19" i="10"/>
  <c r="D13" i="10"/>
  <c r="D16" i="10"/>
  <c r="D25" i="10"/>
  <c r="D26" i="10"/>
  <c r="H632" i="1" l="1"/>
  <c r="J632" i="1" s="1"/>
  <c r="H473" i="1"/>
  <c r="H475" i="1" s="1"/>
  <c r="H623" i="1" s="1"/>
  <c r="D28" i="10"/>
  <c r="I666" i="1"/>
  <c r="I671" i="1"/>
  <c r="C7" i="10" s="1"/>
  <c r="F666" i="1"/>
  <c r="F671" i="1"/>
  <c r="C4" i="10" s="1"/>
  <c r="J623" i="1" l="1"/>
  <c r="H655" i="1"/>
  <c r="C9" i="13"/>
  <c r="E8" i="13"/>
  <c r="E33" i="13" s="1"/>
  <c r="D35" i="13" s="1"/>
  <c r="D33" i="13"/>
  <c r="D36" i="13" s="1"/>
  <c r="C8" i="13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<sst xmlns="http://schemas.openxmlformats.org/spreadsheetml/2006/main" count="3948" uniqueCount="913">
  <si>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</si>
  <si>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</si>
  <si>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</si>
  <si>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</si>
  <si>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</si>
  <si>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</si>
  <si>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</si>
  <si>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</si>
  <si>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</si>
  <si>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</si>
  <si>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</si>
  <si>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</si>
  <si>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</si>
  <si>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</si>
  <si>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</si>
  <si>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</si>
  <si>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</si>
  <si>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</si>
  <si>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</si>
  <si>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</si>
  <si>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</si>
  <si>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</si>
  <si>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</si>
  <si>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</si>
  <si>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</si>
  <si>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</si>
  <si>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</si>
  <si>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</si>
  <si>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</si>
  <si>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</si>
  <si>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</si>
  <si>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</si>
  <si>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</si>
  <si>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</si>
  <si>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</si>
  <si>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</si>
  <si>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</si>
  <si>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</si>
  <si>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</si>
  <si>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</si>
  <si>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</si>
  <si>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</si>
  <si>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</si>
  <si>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</si>
  <si>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</si>
  <si>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</si>
  <si>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</si>
  <si>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</si>
  <si>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</si>
  <si>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</si>
  <si>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</si>
  <si>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</si>
  <si>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</si>
  <si>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</si>
  <si>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</si>
  <si>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</si>
  <si>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</si>
  <si>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</si>
  <si>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</si>
  <si>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</si>
  <si>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</si>
  <si>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</si>
  <si>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</si>
  <si>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</si>
  <si>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</si>
  <si>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</si>
  <si>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</si>
  <si>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</si>
  <si>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</si>
  <si>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</si>
  <si>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</si>
  <si>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</si>
  <si>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</si>
  <si>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</si>
  <si>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</si>
  <si>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</si>
  <si>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</si>
  <si>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</si>
  <si>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</si>
  <si>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</si>
  <si>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</si>
  <si>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</si>
  <si>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</si>
  <si>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</si>
  <si>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</si>
  <si>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</si>
  <si>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</si>
  <si>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</si>
  <si>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</si>
  <si>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</si>
  <si>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</si>
  <si>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</si>
  <si>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</si>
  <si>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</si>
  <si>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</si>
  <si>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</si>
  <si>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</si>
  <si>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</si>
  <si>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</si>
  <si>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</si>
  <si>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</si>
  <si>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</si>
  <si>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</si>
  <si>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</si>
  <si>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</si>
  <si>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</si>
  <si>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</si>
  <si>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</si>
  <si>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</si>
  <si>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</si>
  <si>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</si>
  <si>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</si>
  <si>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</si>
  <si>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</si>
  <si>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</si>
  <si>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</si>
  <si>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</si>
  <si>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</si>
  <si>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</si>
  <si>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</si>
  <si>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</si>
  <si>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</si>
  <si>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</si>
  <si>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</si>
  <si>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</si>
  <si>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</si>
  <si>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</si>
  <si>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</si>
  <si>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</si>
  <si>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</si>
  <si>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</si>
  <si>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</si>
  <si>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</si>
  <si>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</si>
  <si>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</si>
  <si>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</si>
  <si>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</si>
  <si>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</si>
  <si>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</si>
  <si>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</si>
  <si>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</si>
  <si>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</si>
  <si>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</si>
  <si>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</si>
  <si>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</si>
  <si>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</si>
  <si>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</si>
  <si>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</si>
  <si>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</si>
  <si>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</si>
  <si>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</si>
  <si>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</si>
  <si>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</si>
  <si>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</si>
  <si>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</si>
  <si>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</si>
  <si>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</si>
  <si>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</si>
  <si>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</si>
  <si>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</si>
  <si>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</si>
  <si>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</si>
  <si>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</si>
  <si>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</si>
  <si>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</si>
  <si>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</si>
  <si>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</si>
  <si>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</si>
  <si>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</si>
  <si>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</si>
  <si>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</si>
  <si>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</si>
  <si>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</si>
  <si>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</si>
  <si>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</si>
  <si>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</si>
  <si>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</si>
  <si>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</si>
  <si>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</si>
  <si>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</si>
  <si>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</si>
  <si>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</si>
  <si>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</si>
  <si>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</si>
  <si>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</si>
  <si>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</si>
  <si>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</si>
  <si>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</si>
  <si>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</si>
  <si>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</si>
  <si>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</si>
  <si>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</si>
  <si>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</si>
  <si>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</si>
  <si>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</si>
  <si>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</si>
  <si>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</si>
  <si>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</si>
  <si>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</si>
  <si>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</si>
  <si>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</si>
  <si>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</si>
  <si>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</si>
  <si>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</si>
  <si>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</si>
  <si>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</si>
  <si>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</si>
  <si>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</si>
  <si>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</si>
  <si>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</si>
  <si>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</si>
  <si>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</si>
  <si>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</si>
  <si>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</si>
  <si>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</si>
  <si>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</si>
  <si>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</si>
  <si>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</si>
  <si>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</si>
  <si>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</si>
  <si>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</si>
  <si>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</si>
  <si>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</si>
  <si>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</si>
  <si>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</si>
  <si>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</si>
  <si>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</si>
  <si>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</si>
  <si>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</si>
  <si>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</si>
  <si>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</si>
  <si>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</si>
  <si>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</si>
  <si>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</si>
  <si>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</si>
  <si>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</si>
  <si>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</si>
  <si>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</si>
  <si>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</si>
  <si>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</si>
  <si>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</si>
  <si>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</si>
  <si>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</si>
  <si>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</si>
  <si>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</si>
  <si>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</si>
  <si>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</si>
  <si>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</si>
  <si>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</si>
  <si>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</si>
  <si>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</si>
  <si>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</si>
  <si>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</si>
  <si>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</si>
  <si>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</si>
  <si>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</si>
  <si>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</si>
  <si>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</si>
  <si>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</si>
  <si>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</si>
  <si>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</si>
  <si>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</si>
  <si>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</si>
  <si>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</si>
  <si>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</si>
  <si>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</si>
  <si>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</si>
  <si>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</si>
  <si>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</si>
  <si>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</si>
  <si>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</si>
  <si>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</si>
  <si>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</si>
  <si>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</si>
  <si>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</si>
  <si>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</si>
  <si>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</si>
  <si>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</si>
  <si>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</si>
  <si>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</si>
  <si>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</si>
  <si>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</si>
  <si>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</si>
  <si>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</si>
  <si>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</si>
  <si>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</si>
  <si>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</si>
  <si>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</si>
  <si>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</si>
  <si>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</si>
  <si>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</si>
  <si>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</si>
  <si>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</si>
  <si>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</si>
  <si>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</si>
  <si>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</si>
  <si>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</si>
  <si>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</si>
  <si>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</si>
  <si>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</si>
  <si>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</si>
  <si>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</si>
  <si>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</si>
  <si>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</si>
  <si>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</si>
  <si>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</si>
  <si>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</si>
  <si>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</si>
  <si>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</si>
  <si>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</si>
  <si>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</si>
  <si>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</si>
  <si>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</si>
  <si>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</si>
  <si>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</si>
  <si>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</si>
  <si>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</si>
  <si>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</si>
  <si>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</si>
  <si>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</si>
  <si>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</si>
  <si>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</si>
  <si>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</si>
  <si>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</si>
  <si>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</si>
  <si>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</si>
  <si>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</si>
  <si>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</si>
  <si>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</si>
  <si>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</si>
  <si>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</si>
  <si>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</si>
  <si>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</si>
  <si>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</si>
  <si>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</si>
  <si>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</si>
  <si>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</si>
  <si>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</si>
  <si>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</si>
  <si>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</si>
  <si>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</si>
  <si>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</si>
  <si>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</si>
  <si>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</si>
  <si>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</si>
  <si>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</si>
  <si>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</si>
  <si>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</si>
  <si>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</si>
  <si>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</si>
  <si>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</si>
  <si>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</si>
  <si>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</si>
  <si>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</si>
  <si>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</si>
  <si>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</si>
  <si>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</si>
  <si>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</si>
  <si>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</si>
  <si>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</si>
  <si>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</si>
  <si>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</si>
  <si>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</si>
  <si>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</si>
  <si>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</si>
  <si>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</si>
  <si>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</si>
  <si>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</si>
  <si>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</si>
  <si>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</si>
  <si>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</si>
  <si>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</si>
  <si>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</si>
  <si>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</si>
  <si>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</si>
  <si>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</si>
  <si>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</si>
  <si>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</si>
  <si>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</si>
  <si>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</si>
  <si>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</si>
  <si>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</si>
  <si>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</si>
  <si>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</si>
  <si>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</si>
  <si>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</si>
  <si>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</si>
  <si>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</si>
  <si>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</si>
  <si>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</si>
  <si>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</si>
  <si>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</si>
  <si>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</si>
  <si>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</si>
  <si>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</si>
  <si>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</si>
  <si>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</si>
  <si>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</si>
  <si>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</si>
  <si>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</si>
  <si>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</si>
  <si>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</si>
  <si>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</si>
  <si>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</si>
  <si>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</si>
  <si>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</si>
  <si>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</si>
  <si>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</si>
  <si>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</si>
  <si>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</si>
  <si>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</si>
  <si>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</si>
  <si>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</si>
  <si>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</si>
  <si>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</si>
  <si>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</si>
  <si>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</si>
  <si>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</si>
  <si>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</si>
  <si>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</si>
  <si>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</si>
  <si>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</si>
  <si>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</si>
  <si>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</si>
  <si>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</si>
  <si>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</si>
  <si>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</si>
  <si>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</si>
  <si>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</si>
  <si>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</si>
  <si>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</si>
  <si>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</si>
  <si>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</si>
  <si>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</si>
  <si>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</si>
  <si>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</si>
  <si>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</si>
  <si>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</si>
  <si>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</si>
  <si>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</si>
  <si>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</si>
  <si>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</si>
  <si>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</si>
  <si>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</si>
  <si>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</si>
  <si>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</si>
  <si>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</si>
  <si>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</si>
  <si>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</si>
  <si>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</si>
  <si>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</si>
  <si>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</si>
  <si>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</si>
  <si>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</si>
  <si>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</si>
  <si>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</si>
  <si>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</si>
  <si>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</si>
  <si>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</si>
  <si>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</si>
  <si>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</si>
  <si>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</si>
  <si>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</si>
  <si>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</si>
  <si>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</si>
  <si>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</si>
  <si>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</si>
  <si>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</si>
  <si>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</si>
  <si>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</si>
  <si>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</si>
  <si>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</si>
  <si>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</si>
  <si>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</si>
  <si>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</si>
  <si>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</si>
  <si>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</si>
  <si>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</si>
  <si>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</si>
  <si>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</si>
  <si>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</si>
  <si>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</si>
  <si>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</si>
  <si>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</si>
  <si>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</si>
  <si>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</si>
  <si>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</si>
  <si>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</si>
  <si>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</si>
  <si>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</si>
  <si>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</si>
  <si>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</si>
  <si>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</si>
  <si>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</si>
  <si>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</si>
  <si>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</si>
  <si>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</si>
  <si>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</si>
  <si>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</si>
  <si>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</si>
  <si>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</si>
  <si>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</si>
  <si>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</si>
  <si>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</si>
  <si>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</si>
  <si>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</si>
  <si>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</si>
  <si>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</si>
  <si>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</si>
  <si>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</si>
  <si>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</si>
  <si>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</si>
  <si>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</si>
  <si>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</si>
  <si>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</si>
  <si>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</si>
  <si>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</si>
  <si>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</si>
  <si>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</si>
  <si>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</si>
  <si>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</si>
  <si>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</si>
  <si>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</si>
  <si>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</si>
  <si>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</si>
  <si>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</si>
  <si>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</si>
  <si>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</si>
  <si>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</si>
  <si>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</si>
  <si>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</si>
  <si>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</si>
  <si>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</si>
  <si>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</si>
  <si>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</si>
  <si>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</si>
  <si>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</si>
  <si>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</si>
  <si>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</si>
  <si>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</si>
  <si>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</si>
  <si>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</si>
  <si>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</si>
  <si>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</si>
  <si>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</si>
  <si>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</si>
  <si>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</si>
  <si>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</si>
  <si>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</si>
  <si>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</si>
  <si>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</si>
  <si>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</si>
  <si>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</si>
  <si>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</si>
  <si>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</si>
  <si>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</si>
  <si>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</si>
  <si>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</si>
  <si>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</si>
  <si>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</si>
  <si>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</si>
  <si>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</si>
  <si>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</si>
  <si>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</si>
  <si>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</si>
  <si>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</si>
  <si>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</si>
  <si>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</si>
  <si>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</si>
  <si>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</si>
  <si>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</si>
  <si>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</si>
  <si>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</si>
  <si>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</si>
  <si>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</si>
  <si>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</si>
  <si>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</si>
  <si>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</si>
  <si>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</si>
  <si>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</si>
  <si>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</si>
  <si>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</si>
  <si>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</si>
  <si>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</si>
  <si>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</si>
  <si>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</si>
  <si>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</si>
  <si>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</si>
  <si>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</si>
  <si>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</si>
  <si>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</si>
  <si>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</si>
  <si>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</si>
  <si>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</si>
  <si>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</si>
  <si>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</si>
  <si>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</si>
  <si>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</si>
  <si>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</si>
  <si>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</si>
  <si>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</si>
  <si>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</si>
  <si>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</si>
  <si>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</si>
  <si>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</si>
  <si>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</si>
  <si>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</si>
  <si>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</si>
  <si>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</si>
  <si>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</si>
  <si>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</si>
  <si>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</si>
  <si>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</si>
  <si>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</si>
  <si>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</si>
  <si>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</si>
  <si>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</si>
  <si>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</si>
  <si>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</si>
  <si>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</si>
  <si>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</si>
  <si>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</si>
  <si>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</si>
  <si>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</si>
  <si>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</si>
  <si>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</si>
  <si>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</si>
  <si>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</si>
  <si>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</si>
  <si>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</si>
  <si>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</si>
  <si>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</si>
  <si>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</si>
  <si>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</si>
  <si>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</si>
  <si>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</si>
  <si>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</si>
  <si>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</si>
  <si>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</si>
  <si>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</si>
  <si>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</si>
  <si>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</si>
  <si>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</si>
  <si>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</si>
  <si>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</si>
  <si>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</si>
  <si>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</si>
  <si>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</si>
  <si>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</si>
  <si>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</si>
  <si>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</si>
  <si>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</si>
  <si>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</si>
  <si>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</si>
  <si>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</si>
  <si>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</si>
  <si>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</si>
  <si>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</si>
  <si>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</si>
  <si>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</si>
  <si>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</si>
  <si>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</si>
  <si>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</si>
  <si>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</si>
  <si>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</si>
  <si>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</si>
  <si>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</si>
  <si>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</si>
  <si>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</si>
  <si>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</si>
  <si>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</si>
  <si>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</si>
  <si>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</si>
  <si>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</si>
  <si>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</si>
  <si>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</si>
  <si>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</si>
  <si>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</si>
  <si>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</si>
  <si>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</si>
  <si>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</si>
  <si>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</si>
  <si>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</si>
  <si>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</si>
  <si>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</si>
  <si>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</si>
  <si>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</si>
  <si>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</si>
  <si>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</si>
  <si>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</si>
  <si>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</si>
  <si>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</si>
  <si>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</si>
  <si>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</si>
  <si>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</si>
  <si>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</si>
  <si>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</si>
  <si>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</si>
  <si>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</si>
  <si>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</si>
  <si>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</si>
  <si>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</si>
  <si>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</si>
  <si>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</si>
  <si>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</si>
  <si>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</si>
  <si>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</si>
  <si>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</si>
  <si>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</si>
  <si>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</si>
  <si>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</si>
  <si>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</si>
  <si>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</si>
  <si>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</si>
  <si>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</si>
  <si>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</si>
  <si>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</si>
  <si>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</si>
  <si>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</si>
  <si>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</si>
  <si>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</si>
  <si>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</si>
  <si>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</si>
  <si>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</si>
  <si>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</si>
  <si>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</si>
  <si>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</si>
  <si>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</si>
  <si>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</si>
  <si>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</si>
  <si>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</si>
  <si>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</si>
  <si>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</si>
  <si>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</si>
  <si>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</si>
  <si>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</si>
  <si>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</si>
  <si>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</si>
  <si>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</si>
  <si>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</si>
  <si>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</si>
  <si>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</si>
  <si>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</si>
  <si>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</si>
  <si>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</si>
  <si>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</si>
  <si>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</si>
  <si>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</si>
  <si>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</si>
  <si>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</si>
  <si>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</si>
  <si>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</si>
  <si>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</si>
  <si>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</si>
  <si>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</si>
  <si>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</si>
  <si>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</si>
  <si>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</si>
  <si>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</si>
  <si>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</si>
  <si>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</si>
  <si>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</si>
  <si>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</si>
  <si>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</si>
  <si>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</si>
  <si>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</si>
  <si>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</si>
  <si>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</si>
  <si>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</si>
  <si>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</si>
  <si>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</si>
  <si>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</si>
  <si>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</si>
  <si>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</si>
  <si>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</si>
  <si>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</si>
  <si>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</si>
  <si>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</si>
  <si>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</si>
  <si>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</si>
  <si>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</si>
  <si>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</si>
  <si>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</si>
  <si>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</si>
  <si>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</si>
  <si>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</si>
  <si>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</si>
  <si>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</si>
  <si>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</si>
  <si>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</si>
  <si>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</si>
  <si>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</si>
  <si>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</si>
  <si>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</si>
  <si>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</si>
  <si>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</si>
  <si>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</si>
  <si>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</si>
  <si>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</si>
  <si>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</si>
  <si>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</si>
  <si>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</si>
  <si>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</si>
  <si>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</si>
  <si>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</si>
  <si>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</si>
  <si>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</si>
  <si>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</si>
  <si>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</si>
  <si>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</si>
  <si>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</si>
  <si>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</si>
  <si>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</si>
  <si>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</si>
  <si>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</si>
  <si>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</si>
  <si>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</si>
  <si>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</si>
  <si>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</si>
  <si>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</si>
  <si>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</si>
  <si>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</si>
  <si>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</si>
  <si>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</si>
  <si>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</si>
  <si>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</si>
  <si>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</si>
  <si>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</si>
  <si>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</si>
  <si>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</si>
  <si>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</si>
  <si>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</si>
  <si>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</si>
  <si>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</si>
  <si>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</si>
  <si>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</si>
  <si>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</si>
  <si>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</si>
  <si>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</si>
  <si>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</si>
  <si>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</si>
  <si>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</si>
  <si>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</si>
  <si>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</si>
  <si>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</si>
  <si>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</si>
  <si>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</si>
  <si>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</si>
  <si>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</si>
  <si>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</si>
  <si>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</si>
  <si>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</si>
  <si>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</si>
  <si>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</si>
  <si>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</si>
  <si>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</si>
  <si>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</si>
  <si>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</si>
  <si>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</si>
  <si>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</si>
  <si>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</si>
  <si>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</si>
  <si>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</si>
  <si>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</si>
  <si>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</si>
  <si>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</si>
  <si>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</si>
  <si>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</si>
  <si>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</si>
  <si>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</si>
  <si>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</si>
  <si>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</si>
  <si>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</si>
  <si>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</si>
  <si>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</si>
  <si>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</si>
  <si>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</si>
  <si>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</si>
  <si>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</si>
  <si>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</si>
  <si>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</si>
  <si>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</si>
  <si>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</si>
  <si>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</si>
  <si>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</si>
  <si>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</si>
  <si>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</si>
  <si>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</si>
  <si>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</si>
  <si>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</si>
  <si>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</si>
  <si>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</si>
  <si>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</si>
  <si>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</si>
  <si>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</si>
  <si>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</si>
  <si>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</si>
  <si>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</si>
  <si>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</si>
  <si>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</si>
  <si>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</si>
  <si>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</si>
  <si>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</si>
  <si>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</si>
  <si>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</si>
  <si>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</si>
  <si>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</si>
  <si>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</si>
  <si>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</si>
  <si>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02/98</t>
  </si>
  <si>
    <t>08/12</t>
  </si>
  <si>
    <t>Audit adjustments.</t>
  </si>
  <si>
    <t>Wakefield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</si>
</sst>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912</v>
      </c>
      <c r="B2" s="21">
        <v>543</v>
      </c>
      <c r="C2" s="21">
        <v>543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425872.26</v>
      </c>
      <c r="G9" s="18">
        <v>3691.51</v>
      </c>
      <c r="H9" s="18">
        <v>0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/>
      <c r="J10" s="67">
        <f>SUM(I439)</f>
        <v>199540.62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0</v>
      </c>
      <c r="H12" s="18">
        <v>0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35342.449999999997</v>
      </c>
      <c r="G13" s="18">
        <v>0</v>
      </c>
      <c r="H13" s="18">
        <v>36667.93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26280.53</v>
      </c>
      <c r="G14" s="18">
        <v>7336.87</v>
      </c>
      <c r="H14" s="18">
        <v>0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487495.24</v>
      </c>
      <c r="G19" s="41">
        <f>SUM(G9:G18)</f>
        <v>11028.380000000001</v>
      </c>
      <c r="H19" s="41">
        <f>SUM(H9:H18)</f>
        <v>36667.93</v>
      </c>
      <c r="I19" s="41">
        <f>SUM(I9:I18)</f>
        <v>0</v>
      </c>
      <c r="J19" s="41">
        <f>SUM(J9:J18)</f>
        <v>199540.62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0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11028.38</v>
      </c>
      <c r="H23" s="18">
        <v>2250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141928.87</v>
      </c>
      <c r="G24" s="18">
        <v>0</v>
      </c>
      <c r="H24" s="18">
        <v>34417.93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141928.87</v>
      </c>
      <c r="G32" s="41">
        <f>SUM(G22:G31)</f>
        <v>11028.38</v>
      </c>
      <c r="H32" s="41">
        <f>SUM(H22:H31)</f>
        <v>36667.93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117000</v>
      </c>
      <c r="G44" s="18">
        <v>0</v>
      </c>
      <c r="H44" s="18">
        <v>0</v>
      </c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0</v>
      </c>
      <c r="H47" s="18">
        <v>0</v>
      </c>
      <c r="I47" s="18"/>
      <c r="J47" s="13">
        <f>SUM(I458)</f>
        <v>199540.62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>
        <v>0</v>
      </c>
      <c r="H48" s="18">
        <v>0</v>
      </c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228566.37000000005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345566.37000000005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199540.62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487495.24000000005</v>
      </c>
      <c r="G51" s="41">
        <f>G50+G32</f>
        <v>11028.38</v>
      </c>
      <c r="H51" s="41">
        <f>H50+H32</f>
        <v>36667.93</v>
      </c>
      <c r="I51" s="41">
        <f>I50+I32</f>
        <v>0</v>
      </c>
      <c r="J51" s="41">
        <f>J50+J32</f>
        <v>199540.62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5066247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5066247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0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4984.63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4984.63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1823.61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1823.61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895.15</v>
      </c>
      <c r="G95" s="18">
        <v>0</v>
      </c>
      <c r="H95" s="18">
        <v>0</v>
      </c>
      <c r="I95" s="18">
        <v>0</v>
      </c>
      <c r="J95" s="18">
        <v>1891.55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51658.64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0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4934.79</v>
      </c>
      <c r="G109" s="18">
        <v>0</v>
      </c>
      <c r="H109" s="18">
        <v>0</v>
      </c>
      <c r="I109" s="18">
        <v>0</v>
      </c>
      <c r="J109" s="18">
        <v>0</v>
      </c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5829.94</v>
      </c>
      <c r="G110" s="41">
        <f>SUM(G95:G109)</f>
        <v>51658.64</v>
      </c>
      <c r="H110" s="41">
        <f>SUM(H95:H109)</f>
        <v>0</v>
      </c>
      <c r="I110" s="41">
        <f>SUM(I95:I109)</f>
        <v>0</v>
      </c>
      <c r="J110" s="41">
        <f>SUM(J95:J109)</f>
        <v>1891.55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5078885.1800000006</v>
      </c>
      <c r="G111" s="41">
        <f>G59+G110</f>
        <v>51658.64</v>
      </c>
      <c r="H111" s="41">
        <f>H59+H78+H93+H110</f>
        <v>0</v>
      </c>
      <c r="I111" s="41">
        <f>I59+I110</f>
        <v>0</v>
      </c>
      <c r="J111" s="41">
        <f>J59+J110</f>
        <v>1891.55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1446930.33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2239022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1253.67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3687206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51063.3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10022.450000000001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2912.51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61085.75</v>
      </c>
      <c r="G135" s="41">
        <f>SUM(G122:G134)</f>
        <v>2912.51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3748291.75</v>
      </c>
      <c r="G139" s="41">
        <f>G120+SUM(G135:G136)</f>
        <v>2912.51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1171.1+4778.43+15235.46+213905.93</f>
        <v>235090.91999999998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22109.63+433.69+37766.17+31526.93</f>
        <v>91836.42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76498.36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0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57526.99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26044.94</v>
      </c>
      <c r="H160" s="18">
        <v>78495.149999999994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57526.99</v>
      </c>
      <c r="G161" s="41">
        <f>SUM(G149:G160)</f>
        <v>102543.3</v>
      </c>
      <c r="H161" s="41">
        <f>SUM(H149:H160)</f>
        <v>405422.49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0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57526.99</v>
      </c>
      <c r="G168" s="41">
        <f>G146+G161+SUM(G162:G167)</f>
        <v>102543.3</v>
      </c>
      <c r="H168" s="41">
        <f>H146+H161+SUM(H162:H167)</f>
        <v>405422.49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59009.41</v>
      </c>
      <c r="H178" s="18">
        <v>0</v>
      </c>
      <c r="I178" s="18">
        <v>0</v>
      </c>
      <c r="J178" s="18">
        <v>159500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59009.41</v>
      </c>
      <c r="H182" s="41">
        <f>SUM(H178:H181)</f>
        <v>0</v>
      </c>
      <c r="I182" s="41">
        <f>SUM(I178:I181)</f>
        <v>0</v>
      </c>
      <c r="J182" s="41">
        <f>SUM(J178:J181)</f>
        <v>159500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59009.41</v>
      </c>
      <c r="H191" s="41">
        <f>+H182+SUM(H187:H190)</f>
        <v>0</v>
      </c>
      <c r="I191" s="41">
        <f>I176+I182+SUM(I187:I190)</f>
        <v>0</v>
      </c>
      <c r="J191" s="41">
        <f>J182</f>
        <v>159500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8884703.9199999999</v>
      </c>
      <c r="G192" s="47">
        <f>G111+G139+G168+G191</f>
        <v>216123.86000000002</v>
      </c>
      <c r="H192" s="47">
        <f>H111+H139+H168+H191</f>
        <v>405422.49</v>
      </c>
      <c r="I192" s="47">
        <f>I111+I139+I168+I191</f>
        <v>0</v>
      </c>
      <c r="J192" s="47">
        <f>J111+J139+J191</f>
        <v>161391.54999999999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1424366.35</v>
      </c>
      <c r="G196" s="18">
        <v>721716.28</v>
      </c>
      <c r="H196" s="18">
        <v>109</v>
      </c>
      <c r="I196" s="18">
        <v>107487.48</v>
      </c>
      <c r="J196" s="18">
        <v>1380.55</v>
      </c>
      <c r="K196" s="18">
        <v>65</v>
      </c>
      <c r="L196" s="19">
        <f>SUM(F196:K196)</f>
        <v>2255124.6599999997</v>
      </c>
      <c r="M196" s="4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539647.71</v>
      </c>
      <c r="G197" s="18">
        <v>170862.87</v>
      </c>
      <c r="H197" s="18">
        <v>722900.62</v>
      </c>
      <c r="I197" s="18">
        <v>2756.64</v>
      </c>
      <c r="J197" s="18">
        <v>2358.19</v>
      </c>
      <c r="K197" s="18">
        <v>0</v>
      </c>
      <c r="L197" s="19">
        <f>SUM(F197:K197)</f>
        <v>1438526.0299999998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17945</v>
      </c>
      <c r="G199" s="18">
        <v>3580.68</v>
      </c>
      <c r="H199" s="18">
        <v>13451.17</v>
      </c>
      <c r="I199" s="18">
        <v>498.6</v>
      </c>
      <c r="J199" s="18">
        <v>0</v>
      </c>
      <c r="K199" s="18">
        <v>0</v>
      </c>
      <c r="L199" s="19">
        <f>SUM(F199:K199)</f>
        <v>35475.449999999997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179672.24000000002</v>
      </c>
      <c r="G201" s="18">
        <v>59210.239999999998</v>
      </c>
      <c r="H201" s="18">
        <v>4016.05</v>
      </c>
      <c r="I201" s="18">
        <v>1443.59</v>
      </c>
      <c r="J201" s="18">
        <v>0</v>
      </c>
      <c r="K201" s="18">
        <v>0</v>
      </c>
      <c r="L201" s="19">
        <f>SUM(F201:K201)</f>
        <v>244342.12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41002</v>
      </c>
      <c r="G202" s="18">
        <v>25204.959999999999</v>
      </c>
      <c r="H202" s="18">
        <v>26375.11</v>
      </c>
      <c r="I202" s="18">
        <v>7529.29</v>
      </c>
      <c r="J202" s="18">
        <v>2401.1799999999998</v>
      </c>
      <c r="K202" s="18">
        <v>0</v>
      </c>
      <c r="L202" s="19">
        <f t="shared" ref="L202:L207" si="0">SUM(F202:K202)</f>
        <v>102512.53999999998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10861.84</v>
      </c>
      <c r="G203" s="18">
        <v>830.99</v>
      </c>
      <c r="H203" s="18">
        <v>563100.98</v>
      </c>
      <c r="I203" s="18">
        <v>0</v>
      </c>
      <c r="J203" s="18">
        <v>0</v>
      </c>
      <c r="K203" s="18">
        <v>3674.8</v>
      </c>
      <c r="L203" s="19">
        <f>SUM(F203:K203)</f>
        <v>578468.61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180030.16</v>
      </c>
      <c r="G204" s="18">
        <v>76458.87</v>
      </c>
      <c r="H204" s="18">
        <v>23316.14</v>
      </c>
      <c r="I204" s="18">
        <v>443.02</v>
      </c>
      <c r="J204" s="18">
        <v>0</v>
      </c>
      <c r="K204" s="18">
        <v>2548.11</v>
      </c>
      <c r="L204" s="19">
        <f>SUM(F204:K204)</f>
        <v>282796.3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101263.31</v>
      </c>
      <c r="G206" s="18">
        <v>22698.48</v>
      </c>
      <c r="H206" s="18">
        <v>253102.56</v>
      </c>
      <c r="I206" s="18">
        <v>120000.73</v>
      </c>
      <c r="J206" s="18">
        <v>12674.24</v>
      </c>
      <c r="K206" s="18">
        <v>0</v>
      </c>
      <c r="L206" s="19">
        <f t="shared" si="0"/>
        <v>509739.31999999995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139899.64000000001</v>
      </c>
      <c r="G207" s="18">
        <v>37374.049999999996</v>
      </c>
      <c r="H207" s="18">
        <v>124022.54</v>
      </c>
      <c r="I207" s="18">
        <v>57849.03</v>
      </c>
      <c r="J207" s="18">
        <v>2839.66</v>
      </c>
      <c r="K207" s="18">
        <v>2395.3599999999997</v>
      </c>
      <c r="L207" s="19">
        <f t="shared" si="0"/>
        <v>364380.27999999997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18363.12</v>
      </c>
      <c r="G208" s="18">
        <v>1907.23</v>
      </c>
      <c r="H208" s="18">
        <v>30005.14</v>
      </c>
      <c r="I208" s="18">
        <v>0</v>
      </c>
      <c r="J208" s="18">
        <v>17526.919999999998</v>
      </c>
      <c r="K208" s="18">
        <v>0</v>
      </c>
      <c r="L208" s="19">
        <f>SUM(F208:K208)</f>
        <v>67802.41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2653051.3700000006</v>
      </c>
      <c r="G210" s="41">
        <f t="shared" si="1"/>
        <v>1119844.6500000001</v>
      </c>
      <c r="H210" s="41">
        <f t="shared" si="1"/>
        <v>1760399.31</v>
      </c>
      <c r="I210" s="41">
        <f t="shared" si="1"/>
        <v>298008.38</v>
      </c>
      <c r="J210" s="41">
        <f t="shared" si="1"/>
        <v>39180.74</v>
      </c>
      <c r="K210" s="41">
        <f t="shared" si="1"/>
        <v>8683.27</v>
      </c>
      <c r="L210" s="41">
        <f t="shared" si="1"/>
        <v>5879167.7200000007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0</v>
      </c>
      <c r="G232" s="18">
        <v>0</v>
      </c>
      <c r="H232" s="18">
        <v>2425982.52</v>
      </c>
      <c r="I232" s="18">
        <v>0</v>
      </c>
      <c r="J232" s="18">
        <v>0</v>
      </c>
      <c r="K232" s="18">
        <v>0</v>
      </c>
      <c r="L232" s="19">
        <f>SUM(F232:K232)</f>
        <v>2425982.52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0</v>
      </c>
      <c r="G233" s="18">
        <v>0</v>
      </c>
      <c r="H233" s="18">
        <v>176854.66</v>
      </c>
      <c r="I233" s="18">
        <v>0</v>
      </c>
      <c r="J233" s="18">
        <v>0</v>
      </c>
      <c r="K233" s="18">
        <v>0</v>
      </c>
      <c r="L233" s="19">
        <f>SUM(F233:K233)</f>
        <v>176854.66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75330.570000000007</v>
      </c>
      <c r="G243" s="18">
        <v>20124.489999999998</v>
      </c>
      <c r="H243" s="18">
        <v>66781.37</v>
      </c>
      <c r="I243" s="18">
        <v>31149.48</v>
      </c>
      <c r="J243" s="18">
        <v>1529.05</v>
      </c>
      <c r="K243" s="18">
        <v>1289.82</v>
      </c>
      <c r="L243" s="19">
        <f t="shared" si="4"/>
        <v>196204.78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75330.570000000007</v>
      </c>
      <c r="G246" s="41">
        <f t="shared" si="5"/>
        <v>20124.489999999998</v>
      </c>
      <c r="H246" s="41">
        <f t="shared" si="5"/>
        <v>2669618.5500000003</v>
      </c>
      <c r="I246" s="41">
        <f t="shared" si="5"/>
        <v>31149.48</v>
      </c>
      <c r="J246" s="41">
        <f t="shared" si="5"/>
        <v>1529.05</v>
      </c>
      <c r="K246" s="41">
        <f t="shared" si="5"/>
        <v>1289.82</v>
      </c>
      <c r="L246" s="41">
        <f t="shared" si="5"/>
        <v>2799041.96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2728381.9400000004</v>
      </c>
      <c r="G256" s="41">
        <f t="shared" si="8"/>
        <v>1139969.1400000001</v>
      </c>
      <c r="H256" s="41">
        <f t="shared" si="8"/>
        <v>4430017.8600000003</v>
      </c>
      <c r="I256" s="41">
        <f t="shared" si="8"/>
        <v>329157.86</v>
      </c>
      <c r="J256" s="41">
        <f t="shared" si="8"/>
        <v>40709.79</v>
      </c>
      <c r="K256" s="41">
        <f t="shared" si="8"/>
        <v>9973.09</v>
      </c>
      <c r="L256" s="41">
        <f t="shared" si="8"/>
        <v>8678209.6799999997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160000</v>
      </c>
      <c r="L259" s="19">
        <f>SUM(F259:K259)</f>
        <v>160000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12230</v>
      </c>
      <c r="L260" s="19">
        <f>SUM(F260:K260)</f>
        <v>12230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59009.41</v>
      </c>
      <c r="L262" s="19">
        <f>SUM(F262:K262)</f>
        <v>59009.41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159500</v>
      </c>
      <c r="L265" s="19">
        <f t="shared" si="9"/>
        <v>159500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0</v>
      </c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390739.41000000003</v>
      </c>
      <c r="L269" s="41">
        <f t="shared" si="9"/>
        <v>390739.41000000003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2728381.9400000004</v>
      </c>
      <c r="G270" s="42">
        <f t="shared" si="11"/>
        <v>1139969.1400000001</v>
      </c>
      <c r="H270" s="42">
        <f t="shared" si="11"/>
        <v>4430017.8600000003</v>
      </c>
      <c r="I270" s="42">
        <f t="shared" si="11"/>
        <v>329157.86</v>
      </c>
      <c r="J270" s="42">
        <f t="shared" si="11"/>
        <v>40709.79</v>
      </c>
      <c r="K270" s="42">
        <f t="shared" si="11"/>
        <v>400712.50000000006</v>
      </c>
      <c r="L270" s="42">
        <f t="shared" si="11"/>
        <v>9068949.0899999999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208229.13999999998</v>
      </c>
      <c r="G275" s="18">
        <v>50796.459999999992</v>
      </c>
      <c r="H275" s="18">
        <v>26022.58</v>
      </c>
      <c r="I275" s="18">
        <v>9567.16</v>
      </c>
      <c r="J275" s="18">
        <v>4250</v>
      </c>
      <c r="K275" s="18">
        <v>0</v>
      </c>
      <c r="L275" s="19">
        <f>SUM(F275:K275)</f>
        <v>298865.33999999997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0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2825</v>
      </c>
      <c r="G281" s="18">
        <v>556.59</v>
      </c>
      <c r="H281" s="18">
        <v>86098</v>
      </c>
      <c r="I281" s="18">
        <v>1055.8200000000002</v>
      </c>
      <c r="J281" s="18">
        <v>0</v>
      </c>
      <c r="K281" s="18">
        <v>0</v>
      </c>
      <c r="L281" s="19">
        <f t="shared" si="12"/>
        <v>90535.41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16021.739999999987</v>
      </c>
      <c r="L284" s="19">
        <f t="shared" si="12"/>
        <v>16021.739999999987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211054.13999999998</v>
      </c>
      <c r="G289" s="42">
        <f t="shared" si="13"/>
        <v>51353.049999999988</v>
      </c>
      <c r="H289" s="42">
        <f t="shared" si="13"/>
        <v>112120.58</v>
      </c>
      <c r="I289" s="42">
        <f t="shared" si="13"/>
        <v>10622.98</v>
      </c>
      <c r="J289" s="42">
        <f t="shared" si="13"/>
        <v>4250</v>
      </c>
      <c r="K289" s="42">
        <f t="shared" si="13"/>
        <v>16021.739999999987</v>
      </c>
      <c r="L289" s="41">
        <f t="shared" si="13"/>
        <v>405422.49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211054.13999999998</v>
      </c>
      <c r="G337" s="41">
        <f t="shared" si="20"/>
        <v>51353.049999999988</v>
      </c>
      <c r="H337" s="41">
        <f t="shared" si="20"/>
        <v>112120.58</v>
      </c>
      <c r="I337" s="41">
        <f t="shared" si="20"/>
        <v>10622.98</v>
      </c>
      <c r="J337" s="41">
        <f t="shared" si="20"/>
        <v>4250</v>
      </c>
      <c r="K337" s="41">
        <f t="shared" si="20"/>
        <v>16021.739999999987</v>
      </c>
      <c r="L337" s="41">
        <f t="shared" si="20"/>
        <v>405422.49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0</v>
      </c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>
        <v>0</v>
      </c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211054.13999999998</v>
      </c>
      <c r="G351" s="41">
        <f>G337</f>
        <v>51353.049999999988</v>
      </c>
      <c r="H351" s="41">
        <f>H337</f>
        <v>112120.58</v>
      </c>
      <c r="I351" s="41">
        <f>I337</f>
        <v>10622.98</v>
      </c>
      <c r="J351" s="41">
        <f>J337</f>
        <v>4250</v>
      </c>
      <c r="K351" s="47">
        <f>K337+K350</f>
        <v>16021.739999999987</v>
      </c>
      <c r="L351" s="41">
        <f>L337+L350</f>
        <v>405422.49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76692.55</v>
      </c>
      <c r="G357" s="18">
        <v>13007.16</v>
      </c>
      <c r="H357" s="18">
        <v>6892.97</v>
      </c>
      <c r="I357" s="18">
        <v>116193.45999999999</v>
      </c>
      <c r="J357" s="18">
        <v>3337.72</v>
      </c>
      <c r="K357" s="18">
        <v>0</v>
      </c>
      <c r="L357" s="13">
        <f>SUM(F357:K357)</f>
        <v>216123.86000000002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0</v>
      </c>
      <c r="G358" s="18">
        <v>0</v>
      </c>
      <c r="H358" s="18">
        <v>0</v>
      </c>
      <c r="I358" s="18">
        <v>0</v>
      </c>
      <c r="J358" s="18">
        <v>0</v>
      </c>
      <c r="K358" s="18">
        <v>0</v>
      </c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>
        <v>0</v>
      </c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76692.55</v>
      </c>
      <c r="G361" s="47">
        <f t="shared" si="22"/>
        <v>13007.16</v>
      </c>
      <c r="H361" s="47">
        <f t="shared" si="22"/>
        <v>6892.97</v>
      </c>
      <c r="I361" s="47">
        <f t="shared" si="22"/>
        <v>116193.45999999999</v>
      </c>
      <c r="J361" s="47">
        <f t="shared" si="22"/>
        <v>3337.72</v>
      </c>
      <c r="K361" s="47">
        <f t="shared" si="22"/>
        <v>0</v>
      </c>
      <c r="L361" s="47">
        <f t="shared" si="22"/>
        <v>216123.86000000002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107585.81</v>
      </c>
      <c r="G366" s="18">
        <v>0</v>
      </c>
      <c r="H366" s="18">
        <v>0</v>
      </c>
      <c r="I366" s="56">
        <f>SUM(F366:H366)</f>
        <v>107585.81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8607.65</v>
      </c>
      <c r="G367" s="18">
        <v>0</v>
      </c>
      <c r="H367" s="18">
        <v>0</v>
      </c>
      <c r="I367" s="56">
        <f>SUM(F367:H367)</f>
        <v>8607.65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116193.45999999999</v>
      </c>
      <c r="G368" s="47">
        <f>SUM(G366:G367)</f>
        <v>0</v>
      </c>
      <c r="H368" s="47">
        <f>SUM(H366:H367)</f>
        <v>0</v>
      </c>
      <c r="I368" s="47">
        <f>SUM(I366:I367)</f>
        <v>116193.45999999999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>
        <v>0</v>
      </c>
      <c r="G386" s="18">
        <v>0</v>
      </c>
      <c r="H386" s="18">
        <v>0</v>
      </c>
      <c r="I386" s="18">
        <v>0</v>
      </c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>
        <v>0</v>
      </c>
      <c r="G389" s="18">
        <v>20000</v>
      </c>
      <c r="H389" s="18">
        <v>655.21</v>
      </c>
      <c r="I389" s="18">
        <v>0</v>
      </c>
      <c r="J389" s="24" t="s">
        <v>289</v>
      </c>
      <c r="K389" s="24" t="s">
        <v>289</v>
      </c>
      <c r="L389" s="56">
        <f t="shared" si="25"/>
        <v>20655.21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>
        <v>0</v>
      </c>
      <c r="G391" s="18">
        <v>139500</v>
      </c>
      <c r="H391" s="18">
        <f>1891.55-655.21</f>
        <v>1236.3399999999999</v>
      </c>
      <c r="I391" s="18">
        <v>0</v>
      </c>
      <c r="J391" s="24" t="s">
        <v>289</v>
      </c>
      <c r="K391" s="24" t="s">
        <v>289</v>
      </c>
      <c r="L391" s="56">
        <f t="shared" si="25"/>
        <v>140736.34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159500</v>
      </c>
      <c r="H392" s="139">
        <f>SUM(H386:H391)</f>
        <v>1891.55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161391.54999999999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>
        <v>0</v>
      </c>
      <c r="G394" s="18">
        <v>0</v>
      </c>
      <c r="H394" s="18">
        <v>0</v>
      </c>
      <c r="I394" s="18">
        <v>0</v>
      </c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>
        <v>0</v>
      </c>
      <c r="G402" s="18">
        <v>0</v>
      </c>
      <c r="H402" s="18">
        <v>0</v>
      </c>
      <c r="I402" s="18">
        <v>0</v>
      </c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159500</v>
      </c>
      <c r="H407" s="47">
        <f>H392+H400+H406</f>
        <v>1891.55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161391.54999999999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41217</v>
      </c>
      <c r="J415" s="18">
        <v>0</v>
      </c>
      <c r="K415" s="18">
        <v>0</v>
      </c>
      <c r="L415" s="56">
        <f t="shared" si="27"/>
        <v>41217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41217</v>
      </c>
      <c r="J418" s="139">
        <f t="shared" si="28"/>
        <v>0</v>
      </c>
      <c r="K418" s="139">
        <f t="shared" si="28"/>
        <v>0</v>
      </c>
      <c r="L418" s="47">
        <f t="shared" si="28"/>
        <v>41217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27824.2</v>
      </c>
      <c r="J424" s="18">
        <v>0</v>
      </c>
      <c r="K424" s="18">
        <v>0</v>
      </c>
      <c r="L424" s="56">
        <f t="shared" si="29"/>
        <v>27824.2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21600</v>
      </c>
      <c r="J425" s="18">
        <v>0</v>
      </c>
      <c r="K425" s="18">
        <v>0</v>
      </c>
      <c r="L425" s="56">
        <f t="shared" si="29"/>
        <v>21600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49424.2</v>
      </c>
      <c r="J426" s="47">
        <f t="shared" si="30"/>
        <v>0</v>
      </c>
      <c r="K426" s="47">
        <f t="shared" si="30"/>
        <v>0</v>
      </c>
      <c r="L426" s="47">
        <f t="shared" si="30"/>
        <v>49424.2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>
        <v>0</v>
      </c>
      <c r="G428" s="18">
        <v>0</v>
      </c>
      <c r="H428" s="18">
        <v>0</v>
      </c>
      <c r="I428" s="18">
        <v>0</v>
      </c>
      <c r="J428" s="18">
        <v>0</v>
      </c>
      <c r="K428" s="18">
        <v>0</v>
      </c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90641.2</v>
      </c>
      <c r="J433" s="47">
        <f t="shared" si="32"/>
        <v>0</v>
      </c>
      <c r="K433" s="47">
        <f t="shared" si="32"/>
        <v>0</v>
      </c>
      <c r="L433" s="47">
        <f t="shared" si="32"/>
        <v>90641.2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0</v>
      </c>
      <c r="G438" s="18">
        <v>0</v>
      </c>
      <c r="H438" s="18">
        <v>0</v>
      </c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199540.62</v>
      </c>
      <c r="G439" s="18">
        <v>0</v>
      </c>
      <c r="H439" s="18">
        <v>0</v>
      </c>
      <c r="I439" s="56">
        <f t="shared" si="33"/>
        <v>199540.62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199540.62</v>
      </c>
      <c r="G445" s="13">
        <f>SUM(G438:G444)</f>
        <v>0</v>
      </c>
      <c r="H445" s="13">
        <f>SUM(H438:H444)</f>
        <v>0</v>
      </c>
      <c r="I445" s="13">
        <f>SUM(I438:I444)</f>
        <v>199540.62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>
        <v>0</v>
      </c>
      <c r="G453" s="18">
        <v>0</v>
      </c>
      <c r="H453" s="18">
        <v>0</v>
      </c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>
        <v>0</v>
      </c>
      <c r="G454" s="18">
        <v>0</v>
      </c>
      <c r="H454" s="18">
        <v>0</v>
      </c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199540.62</v>
      </c>
      <c r="G458" s="18">
        <v>0</v>
      </c>
      <c r="H458" s="18">
        <v>0</v>
      </c>
      <c r="I458" s="56">
        <f t="shared" si="34"/>
        <v>199540.62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199540.62</v>
      </c>
      <c r="G459" s="83">
        <f>SUM(G453:G458)</f>
        <v>0</v>
      </c>
      <c r="H459" s="83">
        <f>SUM(H453:H458)</f>
        <v>0</v>
      </c>
      <c r="I459" s="83">
        <f>SUM(I453:I458)</f>
        <v>199540.62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199540.62</v>
      </c>
      <c r="G460" s="42">
        <f>G451+G459</f>
        <v>0</v>
      </c>
      <c r="H460" s="42">
        <f>H451+H459</f>
        <v>0</v>
      </c>
      <c r="I460" s="42">
        <f>I451+I459</f>
        <v>199540.62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519472.69</v>
      </c>
      <c r="G464" s="18">
        <v>0</v>
      </c>
      <c r="H464" s="18">
        <v>0</v>
      </c>
      <c r="I464" s="18">
        <v>0</v>
      </c>
      <c r="J464" s="18">
        <v>128790.27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8884703.9199999999</v>
      </c>
      <c r="G467" s="18">
        <f>G192</f>
        <v>216123.86000000002</v>
      </c>
      <c r="H467" s="18">
        <f>H192</f>
        <v>405422.49</v>
      </c>
      <c r="I467" s="18"/>
      <c r="J467" s="18">
        <f>L407</f>
        <v>161391.54999999999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10338.85</v>
      </c>
      <c r="G468" s="18">
        <v>0</v>
      </c>
      <c r="H468" s="18">
        <v>0</v>
      </c>
      <c r="I468" s="18"/>
      <c r="J468" s="18">
        <v>0</v>
      </c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8895042.7699999996</v>
      </c>
      <c r="G469" s="53">
        <f>SUM(G467:G468)</f>
        <v>216123.86000000002</v>
      </c>
      <c r="H469" s="53">
        <f>SUM(H467:H468)</f>
        <v>405422.49</v>
      </c>
      <c r="I469" s="53">
        <f>SUM(I467:I468)</f>
        <v>0</v>
      </c>
      <c r="J469" s="53">
        <f>SUM(J467:J468)</f>
        <v>161391.54999999999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9068949.0899999999</v>
      </c>
      <c r="G471" s="18">
        <f>L361</f>
        <v>216123.86000000002</v>
      </c>
      <c r="H471" s="18">
        <f>L351</f>
        <v>405422.49</v>
      </c>
      <c r="I471" s="18"/>
      <c r="J471" s="18">
        <f>L433</f>
        <v>90641.2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0</v>
      </c>
      <c r="G472" s="18"/>
      <c r="H472" s="18"/>
      <c r="I472" s="18"/>
      <c r="J472" s="18">
        <v>0</v>
      </c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9068949.0899999999</v>
      </c>
      <c r="G473" s="53">
        <f>SUM(G471:G472)</f>
        <v>216123.86000000002</v>
      </c>
      <c r="H473" s="53">
        <f>SUM(H471:H472)</f>
        <v>405422.49</v>
      </c>
      <c r="I473" s="53">
        <f>SUM(I471:I472)</f>
        <v>0</v>
      </c>
      <c r="J473" s="53">
        <f>SUM(J471:J472)</f>
        <v>90641.2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345566.36999999918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199540.62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>
        <v>15</v>
      </c>
      <c r="H489" s="154">
        <v>0</v>
      </c>
      <c r="I489" s="154">
        <v>0</v>
      </c>
      <c r="J489" s="154">
        <v>0</v>
      </c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909</v>
      </c>
      <c r="H490" s="154">
        <v>0</v>
      </c>
      <c r="I490" s="154">
        <v>0</v>
      </c>
      <c r="J490" s="154">
        <v>0</v>
      </c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910</v>
      </c>
      <c r="H491" s="154">
        <v>0</v>
      </c>
      <c r="I491" s="154">
        <v>0</v>
      </c>
      <c r="J491" s="154">
        <v>0</v>
      </c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607562</v>
      </c>
      <c r="G492" s="18">
        <v>1822684</v>
      </c>
      <c r="H492" s="154">
        <v>0</v>
      </c>
      <c r="I492" s="154">
        <v>0</v>
      </c>
      <c r="J492" s="154">
        <v>0</v>
      </c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4.95</v>
      </c>
      <c r="G493" s="18">
        <v>4.9000000000000004</v>
      </c>
      <c r="H493" s="154">
        <v>0</v>
      </c>
      <c r="I493" s="154">
        <v>0</v>
      </c>
      <c r="J493" s="154">
        <v>0</v>
      </c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80000</v>
      </c>
      <c r="G494" s="18">
        <v>120000</v>
      </c>
      <c r="H494" s="154">
        <v>0</v>
      </c>
      <c r="I494" s="154">
        <v>0</v>
      </c>
      <c r="J494" s="154">
        <v>0</v>
      </c>
      <c r="K494" s="53">
        <f>SUM(F494:J494)</f>
        <v>200000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54">
        <v>0</v>
      </c>
      <c r="I495" s="154">
        <v>0</v>
      </c>
      <c r="J495" s="154">
        <v>0</v>
      </c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40000</v>
      </c>
      <c r="G496" s="18">
        <v>120000</v>
      </c>
      <c r="H496" s="154">
        <v>0</v>
      </c>
      <c r="I496" s="154">
        <v>0</v>
      </c>
      <c r="J496" s="154">
        <v>0</v>
      </c>
      <c r="K496" s="53">
        <f t="shared" si="35"/>
        <v>160000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40000</v>
      </c>
      <c r="G497" s="205">
        <v>120000</v>
      </c>
      <c r="H497" s="205">
        <v>0</v>
      </c>
      <c r="I497" s="205">
        <v>0</v>
      </c>
      <c r="J497" s="205">
        <v>0</v>
      </c>
      <c r="K497" s="206">
        <f t="shared" si="35"/>
        <v>160000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1030</v>
      </c>
      <c r="G498" s="18">
        <v>3060</v>
      </c>
      <c r="H498" s="18">
        <v>0</v>
      </c>
      <c r="I498" s="18">
        <v>0</v>
      </c>
      <c r="J498" s="18">
        <v>0</v>
      </c>
      <c r="K498" s="53">
        <f t="shared" si="35"/>
        <v>4090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41030</v>
      </c>
      <c r="G499" s="42">
        <f>SUM(G497:G498)</f>
        <v>123060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164090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40000</v>
      </c>
      <c r="G500" s="205">
        <v>120000</v>
      </c>
      <c r="H500" s="205">
        <v>0</v>
      </c>
      <c r="I500" s="205">
        <v>0</v>
      </c>
      <c r="J500" s="205">
        <v>0</v>
      </c>
      <c r="K500" s="206">
        <f t="shared" si="35"/>
        <v>160000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1030</v>
      </c>
      <c r="G501" s="18">
        <v>3060</v>
      </c>
      <c r="H501" s="18">
        <v>0</v>
      </c>
      <c r="I501" s="18">
        <v>0</v>
      </c>
      <c r="J501" s="18">
        <v>0</v>
      </c>
      <c r="K501" s="53">
        <f t="shared" si="35"/>
        <v>4090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41030</v>
      </c>
      <c r="G502" s="42">
        <f>SUM(G500:G501)</f>
        <v>123060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164090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>
        <v>0</v>
      </c>
      <c r="G510" s="24" t="s">
        <v>289</v>
      </c>
      <c r="H510" s="18">
        <v>0</v>
      </c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>
        <v>0</v>
      </c>
      <c r="G511" s="24" t="s">
        <v>289</v>
      </c>
      <c r="H511" s="18">
        <v>0</v>
      </c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0</v>
      </c>
      <c r="G512" s="24" t="s">
        <v>289</v>
      </c>
      <c r="H512" s="18">
        <v>0</v>
      </c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>
        <v>0</v>
      </c>
      <c r="G513" s="24" t="s">
        <v>289</v>
      </c>
      <c r="H513" s="18">
        <v>0</v>
      </c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>
        <v>0</v>
      </c>
      <c r="G514" s="24" t="s">
        <v>289</v>
      </c>
      <c r="H514" s="18">
        <v>0</v>
      </c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>
        <v>0</v>
      </c>
      <c r="H515" s="24" t="s">
        <v>289</v>
      </c>
      <c r="I515" s="18">
        <v>0</v>
      </c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F197+F276</f>
        <v>539647.71</v>
      </c>
      <c r="G520" s="18">
        <f t="shared" ref="G520:K520" si="36">G197+G276</f>
        <v>170862.87</v>
      </c>
      <c r="H520" s="18">
        <f t="shared" si="36"/>
        <v>722900.62</v>
      </c>
      <c r="I520" s="18">
        <f t="shared" si="36"/>
        <v>2756.64</v>
      </c>
      <c r="J520" s="18">
        <f t="shared" si="36"/>
        <v>2358.19</v>
      </c>
      <c r="K520" s="18">
        <f t="shared" si="36"/>
        <v>0</v>
      </c>
      <c r="L520" s="88">
        <f>SUM(F520:K520)</f>
        <v>1438526.0299999998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0</v>
      </c>
      <c r="G521" s="18">
        <v>0</v>
      </c>
      <c r="H521" s="18">
        <v>0</v>
      </c>
      <c r="I521" s="18">
        <v>0</v>
      </c>
      <c r="J521" s="18">
        <v>0</v>
      </c>
      <c r="K521" s="18">
        <v>0</v>
      </c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0</v>
      </c>
      <c r="G522" s="18">
        <v>0</v>
      </c>
      <c r="H522" s="18">
        <v>176854.66</v>
      </c>
      <c r="I522" s="18">
        <v>0</v>
      </c>
      <c r="J522" s="18">
        <v>0</v>
      </c>
      <c r="K522" s="18">
        <v>0</v>
      </c>
      <c r="L522" s="88">
        <f>SUM(F522:K522)</f>
        <v>176854.66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539647.71</v>
      </c>
      <c r="G523" s="108">
        <f t="shared" ref="G523:L523" si="37">SUM(G520:G522)</f>
        <v>170862.87</v>
      </c>
      <c r="H523" s="108">
        <f t="shared" si="37"/>
        <v>899755.28</v>
      </c>
      <c r="I523" s="108">
        <f t="shared" si="37"/>
        <v>2756.64</v>
      </c>
      <c r="J523" s="108">
        <f t="shared" si="37"/>
        <v>2358.19</v>
      </c>
      <c r="K523" s="108">
        <f t="shared" si="37"/>
        <v>0</v>
      </c>
      <c r="L523" s="89">
        <f t="shared" si="37"/>
        <v>1615380.6899999997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10648.08</v>
      </c>
      <c r="G525" s="18">
        <v>4788.4500000000007</v>
      </c>
      <c r="H525" s="18">
        <v>19.079999999999998</v>
      </c>
      <c r="I525" s="18">
        <v>259.85000000000002</v>
      </c>
      <c r="J525" s="18">
        <v>0</v>
      </c>
      <c r="K525" s="18">
        <v>0</v>
      </c>
      <c r="L525" s="88">
        <f>SUM(F525:K525)</f>
        <v>15715.460000000001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10648.08</v>
      </c>
      <c r="G528" s="89">
        <f t="shared" ref="G528:L528" si="38">SUM(G525:G527)</f>
        <v>4788.4500000000007</v>
      </c>
      <c r="H528" s="89">
        <f t="shared" si="38"/>
        <v>19.079999999999998</v>
      </c>
      <c r="I528" s="89">
        <f t="shared" si="38"/>
        <v>259.85000000000002</v>
      </c>
      <c r="J528" s="89">
        <f t="shared" si="38"/>
        <v>0</v>
      </c>
      <c r="K528" s="89">
        <f t="shared" si="38"/>
        <v>0</v>
      </c>
      <c r="L528" s="89">
        <f t="shared" si="38"/>
        <v>15715.460000000001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25069.1</v>
      </c>
      <c r="G530" s="18">
        <v>2393.14</v>
      </c>
      <c r="H530" s="18">
        <v>0</v>
      </c>
      <c r="I530" s="18">
        <v>0</v>
      </c>
      <c r="J530" s="18">
        <v>0</v>
      </c>
      <c r="K530" s="18">
        <v>0</v>
      </c>
      <c r="L530" s="88">
        <f>SUM(F530:K530)</f>
        <v>27462.239999999998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0</v>
      </c>
      <c r="G531" s="18">
        <v>0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25069.1</v>
      </c>
      <c r="G533" s="89">
        <f t="shared" ref="G533:L533" si="39">SUM(G530:G532)</f>
        <v>2393.14</v>
      </c>
      <c r="H533" s="89">
        <f t="shared" si="39"/>
        <v>0</v>
      </c>
      <c r="I533" s="89">
        <f t="shared" si="39"/>
        <v>0</v>
      </c>
      <c r="J533" s="89">
        <f t="shared" si="39"/>
        <v>0</v>
      </c>
      <c r="K533" s="89">
        <f t="shared" si="39"/>
        <v>0</v>
      </c>
      <c r="L533" s="89">
        <f t="shared" si="39"/>
        <v>27462.239999999998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>
        <v>0</v>
      </c>
      <c r="G535" s="18">
        <v>0</v>
      </c>
      <c r="H535" s="18">
        <v>0</v>
      </c>
      <c r="I535" s="18">
        <v>0</v>
      </c>
      <c r="J535" s="18">
        <v>0</v>
      </c>
      <c r="K535" s="18">
        <v>0</v>
      </c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0">SUM(G535:G537)</f>
        <v>0</v>
      </c>
      <c r="H538" s="89">
        <f t="shared" si="40"/>
        <v>0</v>
      </c>
      <c r="I538" s="89">
        <f t="shared" si="40"/>
        <v>0</v>
      </c>
      <c r="J538" s="89">
        <f t="shared" si="40"/>
        <v>0</v>
      </c>
      <c r="K538" s="89">
        <f t="shared" si="40"/>
        <v>0</v>
      </c>
      <c r="L538" s="89">
        <f t="shared" si="40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63616.63</v>
      </c>
      <c r="G540" s="18">
        <f>ROUND(F540*(0.088+0.0765),2)</f>
        <v>10464.94</v>
      </c>
      <c r="H540" s="18">
        <v>13998.16</v>
      </c>
      <c r="I540" s="18">
        <v>0</v>
      </c>
      <c r="J540" s="18">
        <v>0</v>
      </c>
      <c r="K540" s="18">
        <v>0</v>
      </c>
      <c r="L540" s="88">
        <f>SUM(F540:K540)</f>
        <v>88079.73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0</v>
      </c>
      <c r="G541" s="18">
        <v>0</v>
      </c>
      <c r="H541" s="18">
        <v>0</v>
      </c>
      <c r="I541" s="18">
        <v>0</v>
      </c>
      <c r="J541" s="18">
        <v>0</v>
      </c>
      <c r="K541" s="18">
        <v>0</v>
      </c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34255.11</v>
      </c>
      <c r="G542" s="18">
        <f>ROUND(F542*(0.088+0.0765),2)</f>
        <v>5634.97</v>
      </c>
      <c r="H542" s="18">
        <v>7537.47</v>
      </c>
      <c r="I542" s="18">
        <v>0</v>
      </c>
      <c r="J542" s="18">
        <v>0</v>
      </c>
      <c r="K542" s="18">
        <v>0</v>
      </c>
      <c r="L542" s="88">
        <f>SUM(F542:K542)</f>
        <v>47427.55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97871.739999999991</v>
      </c>
      <c r="G543" s="194">
        <f t="shared" ref="G543:L543" si="41">SUM(G540:G542)</f>
        <v>16099.91</v>
      </c>
      <c r="H543" s="194">
        <f t="shared" si="41"/>
        <v>21535.63</v>
      </c>
      <c r="I543" s="194">
        <f t="shared" si="41"/>
        <v>0</v>
      </c>
      <c r="J543" s="194">
        <f t="shared" si="41"/>
        <v>0</v>
      </c>
      <c r="K543" s="194">
        <f t="shared" si="41"/>
        <v>0</v>
      </c>
      <c r="L543" s="194">
        <f t="shared" si="41"/>
        <v>135507.28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673236.62999999989</v>
      </c>
      <c r="G544" s="89">
        <f t="shared" ref="G544:L544" si="42">G523+G528+G533+G538+G543</f>
        <v>194144.37000000002</v>
      </c>
      <c r="H544" s="89">
        <f t="shared" si="42"/>
        <v>921309.99</v>
      </c>
      <c r="I544" s="89">
        <f t="shared" si="42"/>
        <v>3016.49</v>
      </c>
      <c r="J544" s="89">
        <f t="shared" si="42"/>
        <v>2358.19</v>
      </c>
      <c r="K544" s="89">
        <f t="shared" si="42"/>
        <v>0</v>
      </c>
      <c r="L544" s="89">
        <f t="shared" si="42"/>
        <v>1794065.6699999997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1438526.0299999998</v>
      </c>
      <c r="G548" s="87">
        <f>L525</f>
        <v>15715.460000000001</v>
      </c>
      <c r="H548" s="87">
        <f>L530</f>
        <v>27462.239999999998</v>
      </c>
      <c r="I548" s="87">
        <f>L535</f>
        <v>0</v>
      </c>
      <c r="J548" s="87">
        <f>L540</f>
        <v>88079.73</v>
      </c>
      <c r="K548" s="87">
        <f>SUM(F548:J548)</f>
        <v>1569783.4599999997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176854.66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47427.55</v>
      </c>
      <c r="K550" s="87">
        <f>SUM(F550:J550)</f>
        <v>224282.21000000002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3">SUM(F548:F550)</f>
        <v>1615380.6899999997</v>
      </c>
      <c r="G551" s="89">
        <f t="shared" si="43"/>
        <v>15715.460000000001</v>
      </c>
      <c r="H551" s="89">
        <f t="shared" si="43"/>
        <v>27462.239999999998</v>
      </c>
      <c r="I551" s="89">
        <f t="shared" si="43"/>
        <v>0</v>
      </c>
      <c r="J551" s="89">
        <f t="shared" si="43"/>
        <v>135507.28</v>
      </c>
      <c r="K551" s="89">
        <f t="shared" si="43"/>
        <v>1794065.6699999997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18">
        <v>0</v>
      </c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4">SUM(F556:F558)</f>
        <v>0</v>
      </c>
      <c r="G559" s="108">
        <f t="shared" si="44"/>
        <v>0</v>
      </c>
      <c r="H559" s="108">
        <f t="shared" si="44"/>
        <v>0</v>
      </c>
      <c r="I559" s="108">
        <f t="shared" si="44"/>
        <v>0</v>
      </c>
      <c r="J559" s="108">
        <f t="shared" si="44"/>
        <v>0</v>
      </c>
      <c r="K559" s="108">
        <f t="shared" si="44"/>
        <v>0</v>
      </c>
      <c r="L559" s="89">
        <f t="shared" si="44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18">
        <v>0</v>
      </c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5">SUM(F561:F563)</f>
        <v>0</v>
      </c>
      <c r="G564" s="89">
        <f t="shared" si="45"/>
        <v>0</v>
      </c>
      <c r="H564" s="89">
        <f t="shared" si="45"/>
        <v>0</v>
      </c>
      <c r="I564" s="89">
        <f t="shared" si="45"/>
        <v>0</v>
      </c>
      <c r="J564" s="89">
        <f t="shared" si="45"/>
        <v>0</v>
      </c>
      <c r="K564" s="89">
        <f t="shared" si="45"/>
        <v>0</v>
      </c>
      <c r="L564" s="89">
        <f t="shared" si="45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0</v>
      </c>
      <c r="G566" s="18">
        <v>0</v>
      </c>
      <c r="H566" s="18">
        <v>0</v>
      </c>
      <c r="I566" s="18">
        <v>0</v>
      </c>
      <c r="J566" s="18">
        <v>0</v>
      </c>
      <c r="K566" s="18">
        <v>0</v>
      </c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6">SUM(G566:G568)</f>
        <v>0</v>
      </c>
      <c r="H569" s="194">
        <f t="shared" si="46"/>
        <v>0</v>
      </c>
      <c r="I569" s="194">
        <f t="shared" si="46"/>
        <v>0</v>
      </c>
      <c r="J569" s="194">
        <f t="shared" si="46"/>
        <v>0</v>
      </c>
      <c r="K569" s="194">
        <f t="shared" si="46"/>
        <v>0</v>
      </c>
      <c r="L569" s="194">
        <f t="shared" si="46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7">G559+G564+G569</f>
        <v>0</v>
      </c>
      <c r="H570" s="89">
        <f t="shared" si="47"/>
        <v>0</v>
      </c>
      <c r="I570" s="89">
        <f t="shared" si="47"/>
        <v>0</v>
      </c>
      <c r="J570" s="89">
        <f t="shared" si="47"/>
        <v>0</v>
      </c>
      <c r="K570" s="89">
        <f t="shared" si="47"/>
        <v>0</v>
      </c>
      <c r="L570" s="89">
        <f t="shared" si="47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>
        <v>0</v>
      </c>
      <c r="H574" s="18">
        <v>2425982.52</v>
      </c>
      <c r="I574" s="87">
        <f>SUM(F574:H574)</f>
        <v>2425982.52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ref="I575:I586" si="48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8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272019.06</v>
      </c>
      <c r="G578" s="18">
        <v>0</v>
      </c>
      <c r="H578" s="18">
        <v>37159.32</v>
      </c>
      <c r="I578" s="87">
        <f>SUM(F578:H578)</f>
        <v>309178.38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0</v>
      </c>
      <c r="H579" s="18">
        <v>0</v>
      </c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0</v>
      </c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226678.88</v>
      </c>
      <c r="G581" s="18">
        <v>0</v>
      </c>
      <c r="H581" s="18">
        <v>139695.34</v>
      </c>
      <c r="I581" s="87">
        <f>SUM(F581:H581)</f>
        <v>366374.22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>
        <v>0</v>
      </c>
      <c r="H582" s="18">
        <v>0</v>
      </c>
      <c r="I582" s="87">
        <f t="shared" si="48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>
        <v>0</v>
      </c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>
        <v>0</v>
      </c>
      <c r="G584" s="18">
        <v>0</v>
      </c>
      <c r="H584" s="18">
        <v>0</v>
      </c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>
        <v>0</v>
      </c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>
        <v>0</v>
      </c>
      <c r="H586" s="18">
        <v>0</v>
      </c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L207-H591-H594</f>
        <v>276300.55</v>
      </c>
      <c r="I590" s="18">
        <f t="shared" ref="I590" si="49">M207-I591-I594</f>
        <v>0</v>
      </c>
      <c r="J590" s="18">
        <f>L243-J591-J594</f>
        <v>148777.22999999998</v>
      </c>
      <c r="K590" s="104">
        <f t="shared" ref="K590:K596" si="50">SUM(H590:J590)</f>
        <v>425077.77999999997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L540</f>
        <v>88079.73</v>
      </c>
      <c r="I591" s="18">
        <v>0</v>
      </c>
      <c r="J591" s="18">
        <f>L542</f>
        <v>47427.55</v>
      </c>
      <c r="K591" s="104">
        <f t="shared" si="50"/>
        <v>135507.28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0</v>
      </c>
      <c r="K592" s="104">
        <f t="shared" si="50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50"/>
        <v>0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0</v>
      </c>
      <c r="I594" s="18">
        <v>0</v>
      </c>
      <c r="J594" s="18">
        <v>0</v>
      </c>
      <c r="K594" s="104">
        <f t="shared" si="50"/>
        <v>0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50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50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364380.27999999997</v>
      </c>
      <c r="I597" s="108">
        <f>SUM(I590:I596)</f>
        <v>0</v>
      </c>
      <c r="J597" s="108">
        <f>SUM(J590:J596)</f>
        <v>196204.77999999997</v>
      </c>
      <c r="K597" s="108">
        <f>SUM(K590:K596)</f>
        <v>560585.05999999994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>
        <v>0</v>
      </c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J210+J289</f>
        <v>43430.74</v>
      </c>
      <c r="I603" s="18">
        <v>0</v>
      </c>
      <c r="J603" s="18">
        <f>J246</f>
        <v>1529.05</v>
      </c>
      <c r="K603" s="104">
        <f>SUM(H603:J603)</f>
        <v>44959.79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43430.74</v>
      </c>
      <c r="I604" s="108">
        <f>SUM(I601:I603)</f>
        <v>0</v>
      </c>
      <c r="J604" s="108">
        <f>SUM(J601:J603)</f>
        <v>1529.05</v>
      </c>
      <c r="K604" s="108">
        <f>SUM(K601:K603)</f>
        <v>44959.79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7766.79</v>
      </c>
      <c r="G610" s="18">
        <f>ROUND((0.0765+0.112)*F610,2)</f>
        <v>1464.04</v>
      </c>
      <c r="H610" s="18">
        <v>0</v>
      </c>
      <c r="I610" s="18">
        <v>0</v>
      </c>
      <c r="J610" s="18">
        <v>0</v>
      </c>
      <c r="K610" s="18">
        <v>0</v>
      </c>
      <c r="L610" s="88">
        <f>SUM(F610:K610)</f>
        <v>9230.83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1">SUM(F610:F612)</f>
        <v>7766.79</v>
      </c>
      <c r="G613" s="108">
        <f t="shared" si="51"/>
        <v>1464.04</v>
      </c>
      <c r="H613" s="108">
        <f t="shared" si="51"/>
        <v>0</v>
      </c>
      <c r="I613" s="108">
        <f t="shared" si="51"/>
        <v>0</v>
      </c>
      <c r="J613" s="108">
        <f t="shared" si="51"/>
        <v>0</v>
      </c>
      <c r="K613" s="108">
        <f t="shared" si="51"/>
        <v>0</v>
      </c>
      <c r="L613" s="89">
        <f t="shared" si="51"/>
        <v>9230.83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487495.24</v>
      </c>
      <c r="H616" s="109">
        <f>SUM(F51)</f>
        <v>487495.24000000005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11028.380000000001</v>
      </c>
      <c r="H617" s="109">
        <f>SUM(G51)</f>
        <v>11028.38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36667.93</v>
      </c>
      <c r="H618" s="109">
        <f>SUM(H51)</f>
        <v>36667.93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199540.62</v>
      </c>
      <c r="H620" s="109">
        <f>SUM(J51)</f>
        <v>199540.62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345566.37000000005</v>
      </c>
      <c r="H621" s="109">
        <f>F475</f>
        <v>345566.36999999918</v>
      </c>
      <c r="I621" s="121" t="s">
        <v>101</v>
      </c>
      <c r="J621" s="109">
        <f t="shared" ref="J621:J654" si="52">G621-H621</f>
        <v>8.7311491370201111E-10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2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2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2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199540.62</v>
      </c>
      <c r="H625" s="109">
        <f>J475</f>
        <v>199540.62</v>
      </c>
      <c r="I625" s="140" t="s">
        <v>105</v>
      </c>
      <c r="J625" s="109">
        <f t="shared" si="52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8884703.9199999999</v>
      </c>
      <c r="H626" s="104">
        <f>SUM(F467)</f>
        <v>8884703.9199999999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216123.86000000002</v>
      </c>
      <c r="H627" s="104">
        <f>SUM(G467)</f>
        <v>216123.86000000002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405422.49</v>
      </c>
      <c r="H628" s="104">
        <f>SUM(H467)</f>
        <v>405422.49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161391.54999999999</v>
      </c>
      <c r="H630" s="104">
        <f>SUM(J467)</f>
        <v>161391.54999999999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9068949.0899999999</v>
      </c>
      <c r="H631" s="104">
        <f>SUM(F471)</f>
        <v>9068949.0899999999</v>
      </c>
      <c r="I631" s="140" t="s">
        <v>111</v>
      </c>
      <c r="J631" s="109">
        <f t="shared" si="52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405422.49</v>
      </c>
      <c r="H632" s="104">
        <f>SUM(H471)</f>
        <v>405422.49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116193.45999999999</v>
      </c>
      <c r="H633" s="104">
        <f>I368</f>
        <v>116193.45999999999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216123.86000000002</v>
      </c>
      <c r="H634" s="104">
        <f>SUM(G471)</f>
        <v>216123.86000000002</v>
      </c>
      <c r="I634" s="140" t="s">
        <v>114</v>
      </c>
      <c r="J634" s="109">
        <f t="shared" si="52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2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161391.54999999999</v>
      </c>
      <c r="H636" s="164">
        <f>SUM(J467)</f>
        <v>161391.54999999999</v>
      </c>
      <c r="I636" s="165" t="s">
        <v>110</v>
      </c>
      <c r="J636" s="151">
        <f t="shared" si="52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90641.2</v>
      </c>
      <c r="H637" s="164">
        <f>SUM(J471)</f>
        <v>90641.2</v>
      </c>
      <c r="I637" s="165" t="s">
        <v>117</v>
      </c>
      <c r="J637" s="151">
        <f t="shared" si="52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199540.62</v>
      </c>
      <c r="H638" s="104">
        <f>SUM(F460)</f>
        <v>199540.62</v>
      </c>
      <c r="I638" s="140" t="s">
        <v>868</v>
      </c>
      <c r="J638" s="109">
        <f t="shared" si="52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2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2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199540.62</v>
      </c>
      <c r="H641" s="104">
        <f>SUM(I460)</f>
        <v>199540.62</v>
      </c>
      <c r="I641" s="140" t="s">
        <v>871</v>
      </c>
      <c r="J641" s="109">
        <f t="shared" si="52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2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1891.55</v>
      </c>
      <c r="H643" s="104">
        <f>H407</f>
        <v>1891.55</v>
      </c>
      <c r="I643" s="140" t="s">
        <v>481</v>
      </c>
      <c r="J643" s="109">
        <f t="shared" si="52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159500</v>
      </c>
      <c r="H644" s="104">
        <f>G407</f>
        <v>159500</v>
      </c>
      <c r="I644" s="140" t="s">
        <v>482</v>
      </c>
      <c r="J644" s="109">
        <f t="shared" si="52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161391.54999999999</v>
      </c>
      <c r="H645" s="104">
        <f>L407</f>
        <v>161391.54999999999</v>
      </c>
      <c r="I645" s="140" t="s">
        <v>478</v>
      </c>
      <c r="J645" s="109">
        <f t="shared" si="52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560585.05999999994</v>
      </c>
      <c r="H646" s="104">
        <f>L207+L225+L243</f>
        <v>560585.05999999994</v>
      </c>
      <c r="I646" s="140" t="s">
        <v>397</v>
      </c>
      <c r="J646" s="109">
        <f t="shared" si="52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44959.79</v>
      </c>
      <c r="H647" s="104">
        <f>(J256+J337)-(J254+J335)</f>
        <v>44959.79</v>
      </c>
      <c r="I647" s="140" t="s">
        <v>703</v>
      </c>
      <c r="J647" s="109">
        <f t="shared" si="52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364380.27999999997</v>
      </c>
      <c r="H648" s="104">
        <f>H597</f>
        <v>364380.27999999997</v>
      </c>
      <c r="I648" s="140" t="s">
        <v>389</v>
      </c>
      <c r="J648" s="109">
        <f t="shared" si="52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2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196204.78</v>
      </c>
      <c r="H650" s="104">
        <f>J597</f>
        <v>196204.77999999997</v>
      </c>
      <c r="I650" s="140" t="s">
        <v>391</v>
      </c>
      <c r="J650" s="109">
        <f t="shared" si="52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59009.41</v>
      </c>
      <c r="H651" s="104">
        <f>K262+K344</f>
        <v>59009.41</v>
      </c>
      <c r="I651" s="140" t="s">
        <v>398</v>
      </c>
      <c r="J651" s="109">
        <f t="shared" si="52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2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2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159500</v>
      </c>
      <c r="H654" s="104">
        <f>K265+K346</f>
        <v>159500</v>
      </c>
      <c r="I654" s="140" t="s">
        <v>401</v>
      </c>
      <c r="J654" s="109">
        <f t="shared" si="52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6500714.0700000012</v>
      </c>
      <c r="G659" s="19">
        <f>(L228+L308+L358)</f>
        <v>0</v>
      </c>
      <c r="H659" s="19">
        <f>(L246+L327+L359)</f>
        <v>2799041.96</v>
      </c>
      <c r="I659" s="19">
        <f>SUM(F659:H659)</f>
        <v>9299756.0300000012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51658.64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51658.64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361540.62</v>
      </c>
      <c r="G661" s="19">
        <f>(L225+L305)-(J225+J305)</f>
        <v>0</v>
      </c>
      <c r="H661" s="19">
        <f>(L243+L324)-(J243+J324)</f>
        <v>194675.73</v>
      </c>
      <c r="I661" s="19">
        <f>SUM(F661:H661)</f>
        <v>556216.35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551359.51</v>
      </c>
      <c r="G662" s="200">
        <f>SUM(G574:G586)+SUM(I601:I603)+L611</f>
        <v>0</v>
      </c>
      <c r="H662" s="200">
        <f>SUM(H574:H586)+SUM(J601:J603)+L612</f>
        <v>2604366.2299999995</v>
      </c>
      <c r="I662" s="19">
        <f>SUM(F662:H662)</f>
        <v>3155725.7399999993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5536155.3000000007</v>
      </c>
      <c r="G663" s="19">
        <f>G659-SUM(G660:G662)</f>
        <v>0</v>
      </c>
      <c r="H663" s="19">
        <f>H659-SUM(H660:H662)</f>
        <v>0</v>
      </c>
      <c r="I663" s="19">
        <f>I659-SUM(I660:I662)</f>
        <v>5536155.3000000017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417.8</v>
      </c>
      <c r="G664" s="249"/>
      <c r="H664" s="249"/>
      <c r="I664" s="19">
        <f>SUM(F664:H664)</f>
        <v>417.8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13250.73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13250.73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13250.73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13250.73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10" zoomScaleNormal="110" workbookViewId="0">
      <selection activeCell="F4" sqref="F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Wakefield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1632595.49</v>
      </c>
      <c r="C9" s="230">
        <f>'DOE25'!G196+'DOE25'!G214+'DOE25'!G232+'DOE25'!G275+'DOE25'!G294+'DOE25'!G313</f>
        <v>772512.74</v>
      </c>
    </row>
    <row r="10" spans="1:3" x14ac:dyDescent="0.2">
      <c r="A10" t="s">
        <v>779</v>
      </c>
      <c r="B10" s="241">
        <v>1530814.7899999998</v>
      </c>
      <c r="C10" s="241">
        <v>761062.52</v>
      </c>
    </row>
    <row r="11" spans="1:3" x14ac:dyDescent="0.2">
      <c r="A11" t="s">
        <v>780</v>
      </c>
      <c r="B11" s="241">
        <v>60351.18</v>
      </c>
      <c r="C11" s="241">
        <v>11385.58</v>
      </c>
    </row>
    <row r="12" spans="1:3" x14ac:dyDescent="0.2">
      <c r="A12" t="s">
        <v>781</v>
      </c>
      <c r="B12" s="241">
        <v>41429.519999999997</v>
      </c>
      <c r="C12" s="241">
        <v>64.64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1632595.4899999998</v>
      </c>
      <c r="C13" s="232">
        <f>SUM(C10:C12)</f>
        <v>772512.74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539647.71</v>
      </c>
      <c r="C18" s="230">
        <f>'DOE25'!G197+'DOE25'!G215+'DOE25'!G233+'DOE25'!G276+'DOE25'!G295+'DOE25'!G314</f>
        <v>170862.87</v>
      </c>
    </row>
    <row r="19" spans="1:3" x14ac:dyDescent="0.2">
      <c r="A19" t="s">
        <v>779</v>
      </c>
      <c r="B19" s="241">
        <v>255882.78</v>
      </c>
      <c r="C19" s="241">
        <v>116488.44</v>
      </c>
    </row>
    <row r="20" spans="1:3" x14ac:dyDescent="0.2">
      <c r="A20" t="s">
        <v>780</v>
      </c>
      <c r="B20" s="241">
        <v>267674.43</v>
      </c>
      <c r="C20" s="241">
        <v>53143.450000000004</v>
      </c>
    </row>
    <row r="21" spans="1:3" x14ac:dyDescent="0.2">
      <c r="A21" t="s">
        <v>781</v>
      </c>
      <c r="B21" s="241">
        <v>16090.5</v>
      </c>
      <c r="C21" s="241">
        <v>1230.98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539647.71</v>
      </c>
      <c r="C22" s="232">
        <f>SUM(C19:C21)</f>
        <v>170862.87000000002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>
        <v>0</v>
      </c>
      <c r="C28" s="241">
        <v>0</v>
      </c>
    </row>
    <row r="29" spans="1:3" x14ac:dyDescent="0.2">
      <c r="A29" t="s">
        <v>780</v>
      </c>
      <c r="B29" s="241">
        <v>0</v>
      </c>
      <c r="C29" s="241">
        <v>0</v>
      </c>
    </row>
    <row r="30" spans="1:3" x14ac:dyDescent="0.2">
      <c r="A30" t="s">
        <v>781</v>
      </c>
      <c r="B30" s="241">
        <v>0</v>
      </c>
      <c r="C30" s="241">
        <v>0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17945</v>
      </c>
      <c r="C36" s="236">
        <f>'DOE25'!G199+'DOE25'!G217+'DOE25'!G235+'DOE25'!G278+'DOE25'!G297+'DOE25'!G316</f>
        <v>3580.68</v>
      </c>
    </row>
    <row r="37" spans="1:3" x14ac:dyDescent="0.2">
      <c r="A37" t="s">
        <v>779</v>
      </c>
      <c r="B37" s="241">
        <v>10385</v>
      </c>
      <c r="C37" s="241">
        <v>2814.04</v>
      </c>
    </row>
    <row r="38" spans="1:3" x14ac:dyDescent="0.2">
      <c r="A38" t="s">
        <v>780</v>
      </c>
      <c r="B38" s="241">
        <v>7560</v>
      </c>
      <c r="C38" s="241">
        <v>766.6400000000001</v>
      </c>
    </row>
    <row r="39" spans="1:3" x14ac:dyDescent="0.2">
      <c r="A39" t="s">
        <v>781</v>
      </c>
      <c r="B39" s="241">
        <v>0</v>
      </c>
      <c r="C39" s="241">
        <v>0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17945</v>
      </c>
      <c r="C40" s="232">
        <f>SUM(C37:C39)</f>
        <v>3580.6800000000003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" sqref="F4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Wakefield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6331963.3200000003</v>
      </c>
      <c r="D5" s="20">
        <f>SUM('DOE25'!L196:L199)+SUM('DOE25'!L214:L217)+SUM('DOE25'!L232:L235)-F5-G5</f>
        <v>6328159.5800000001</v>
      </c>
      <c r="E5" s="244"/>
      <c r="F5" s="256">
        <f>SUM('DOE25'!J196:J199)+SUM('DOE25'!J214:J217)+SUM('DOE25'!J232:J235)</f>
        <v>3738.74</v>
      </c>
      <c r="G5" s="53">
        <f>SUM('DOE25'!K196:K199)+SUM('DOE25'!K214:K217)+SUM('DOE25'!K232:K235)</f>
        <v>65</v>
      </c>
      <c r="H5" s="260"/>
    </row>
    <row r="6" spans="1:9" x14ac:dyDescent="0.2">
      <c r="A6" s="32">
        <v>2100</v>
      </c>
      <c r="B6" t="s">
        <v>801</v>
      </c>
      <c r="C6" s="246">
        <f t="shared" si="0"/>
        <v>244342.12</v>
      </c>
      <c r="D6" s="20">
        <f>'DOE25'!L201+'DOE25'!L219+'DOE25'!L237-F6-G6</f>
        <v>244342.12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102512.53999999998</v>
      </c>
      <c r="D7" s="20">
        <f>'DOE25'!L202+'DOE25'!L220+'DOE25'!L238-F7-G7</f>
        <v>100111.35999999999</v>
      </c>
      <c r="E7" s="244"/>
      <c r="F7" s="256">
        <f>'DOE25'!J202+'DOE25'!J220+'DOE25'!J238</f>
        <v>2401.1799999999998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348142.4599999999</v>
      </c>
      <c r="D8" s="244"/>
      <c r="E8" s="20">
        <f>'DOE25'!L203+'DOE25'!L221+'DOE25'!L239-F8-G8-D9-D11</f>
        <v>344467.65999999992</v>
      </c>
      <c r="F8" s="256">
        <f>'DOE25'!J203+'DOE25'!J221+'DOE25'!J239</f>
        <v>0</v>
      </c>
      <c r="G8" s="53">
        <f>'DOE25'!K203+'DOE25'!K221+'DOE25'!K239</f>
        <v>3674.8</v>
      </c>
      <c r="H8" s="260"/>
    </row>
    <row r="9" spans="1:9" x14ac:dyDescent="0.2">
      <c r="A9" s="32">
        <v>2310</v>
      </c>
      <c r="B9" t="s">
        <v>818</v>
      </c>
      <c r="C9" s="246">
        <f t="shared" si="0"/>
        <v>99209.58</v>
      </c>
      <c r="D9" s="245">
        <v>99209.58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14934</v>
      </c>
      <c r="D10" s="244"/>
      <c r="E10" s="245">
        <v>14934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131116.57</v>
      </c>
      <c r="D11" s="245">
        <v>131116.57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282796.3</v>
      </c>
      <c r="D12" s="20">
        <f>'DOE25'!L204+'DOE25'!L222+'DOE25'!L240-F12-G12</f>
        <v>277700.08</v>
      </c>
      <c r="E12" s="244"/>
      <c r="F12" s="256">
        <f>'DOE25'!K204+'DOE25'!J222+'DOE25'!J240</f>
        <v>2548.11</v>
      </c>
      <c r="G12" s="53">
        <f>'DOE25'!K204+'DOE25'!K222+'DOE25'!K240</f>
        <v>2548.11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509739.31999999995</v>
      </c>
      <c r="D14" s="20">
        <f>'DOE25'!L206+'DOE25'!L224+'DOE25'!L242-F14-G14</f>
        <v>497065.07999999996</v>
      </c>
      <c r="E14" s="244"/>
      <c r="F14" s="256">
        <f>'DOE25'!J206+'DOE25'!J224+'DOE25'!J242</f>
        <v>12674.24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560585.05999999994</v>
      </c>
      <c r="D15" s="20">
        <f>'DOE25'!L207+'DOE25'!L225+'DOE25'!L243-F15-G15</f>
        <v>552531.16999999993</v>
      </c>
      <c r="E15" s="244"/>
      <c r="F15" s="256">
        <f>'DOE25'!J207+'DOE25'!J225+'DOE25'!J243</f>
        <v>4368.71</v>
      </c>
      <c r="G15" s="53">
        <f>'DOE25'!K207+'DOE25'!K225+'DOE25'!K243</f>
        <v>3685.1799999999994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67802.41</v>
      </c>
      <c r="D16" s="244"/>
      <c r="E16" s="20">
        <f>'DOE25'!L208+'DOE25'!L226+'DOE25'!L244-F16-G16</f>
        <v>50275.490000000005</v>
      </c>
      <c r="F16" s="256">
        <f>'DOE25'!J208+'DOE25'!J226+'DOE25'!J244</f>
        <v>17526.919999999998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172230</v>
      </c>
      <c r="D25" s="244"/>
      <c r="E25" s="244"/>
      <c r="F25" s="259"/>
      <c r="G25" s="257"/>
      <c r="H25" s="258">
        <f>'DOE25'!L259+'DOE25'!L260+'DOE25'!L340+'DOE25'!L341</f>
        <v>172230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108538.05000000002</v>
      </c>
      <c r="D29" s="20">
        <f>'DOE25'!L357+'DOE25'!L358+'DOE25'!L359-'DOE25'!I366-F29-G29</f>
        <v>105200.33000000002</v>
      </c>
      <c r="E29" s="244"/>
      <c r="F29" s="256">
        <f>'DOE25'!J357+'DOE25'!J358+'DOE25'!J359</f>
        <v>3337.72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405422.49</v>
      </c>
      <c r="D31" s="20">
        <f>'DOE25'!L289+'DOE25'!L308+'DOE25'!L327+'DOE25'!L332+'DOE25'!L333+'DOE25'!L334-F31-G31</f>
        <v>385150.75</v>
      </c>
      <c r="E31" s="244"/>
      <c r="F31" s="256">
        <f>'DOE25'!J289+'DOE25'!J308+'DOE25'!J327+'DOE25'!J332+'DOE25'!J333+'DOE25'!J334</f>
        <v>4250</v>
      </c>
      <c r="G31" s="53">
        <f>'DOE25'!K289+'DOE25'!K308+'DOE25'!K327+'DOE25'!K332+'DOE25'!K333+'DOE25'!K334</f>
        <v>16021.739999999987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8720586.620000001</v>
      </c>
      <c r="E33" s="247">
        <f>SUM(E5:E31)</f>
        <v>409677.14999999991</v>
      </c>
      <c r="F33" s="247">
        <f>SUM(F5:F31)</f>
        <v>50845.619999999995</v>
      </c>
      <c r="G33" s="247">
        <f>SUM(G5:G31)</f>
        <v>25994.829999999987</v>
      </c>
      <c r="H33" s="247">
        <f>SUM(H5:H31)</f>
        <v>172230</v>
      </c>
    </row>
    <row r="35" spans="2:8" ht="12" thickBot="1" x14ac:dyDescent="0.25">
      <c r="B35" s="254" t="s">
        <v>847</v>
      </c>
      <c r="D35" s="255">
        <f>E33</f>
        <v>409677.14999999991</v>
      </c>
      <c r="E35" s="250"/>
    </row>
    <row r="36" spans="2:8" ht="12" thickTop="1" x14ac:dyDescent="0.2">
      <c r="B36" t="s">
        <v>815</v>
      </c>
      <c r="D36" s="20">
        <f>D33</f>
        <v>8720586.620000001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3" activePane="bottomLeft" state="frozen"/>
      <selection activeCell="F4" sqref="F4"/>
      <selection pane="bottomLeft" activeCell="C78" sqref="C7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Wakefield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425872.26</v>
      </c>
      <c r="D8" s="95">
        <f>'DOE25'!G9</f>
        <v>3691.51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199540.62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35342.449999999997</v>
      </c>
      <c r="D12" s="95">
        <f>'DOE25'!G13</f>
        <v>0</v>
      </c>
      <c r="E12" s="95">
        <f>'DOE25'!H13</f>
        <v>36667.93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26280.53</v>
      </c>
      <c r="D13" s="95">
        <f>'DOE25'!G14</f>
        <v>7336.87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487495.24</v>
      </c>
      <c r="D18" s="41">
        <f>SUM(D8:D17)</f>
        <v>11028.380000000001</v>
      </c>
      <c r="E18" s="41">
        <f>SUM(E8:E17)</f>
        <v>36667.93</v>
      </c>
      <c r="F18" s="41">
        <f>SUM(F8:F17)</f>
        <v>0</v>
      </c>
      <c r="G18" s="41">
        <f>SUM(G8:G17)</f>
        <v>199540.62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11028.38</v>
      </c>
      <c r="E22" s="95">
        <f>'DOE25'!H23</f>
        <v>2250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141928.87</v>
      </c>
      <c r="D23" s="95">
        <f>'DOE25'!G24</f>
        <v>0</v>
      </c>
      <c r="E23" s="95">
        <f>'DOE25'!H24</f>
        <v>34417.93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141928.87</v>
      </c>
      <c r="D31" s="41">
        <f>SUM(D21:D30)</f>
        <v>11028.38</v>
      </c>
      <c r="E31" s="41">
        <f>SUM(E21:E30)</f>
        <v>36667.93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117000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199540.62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228566.37000000005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345566.37000000005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199540.62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487495.24000000005</v>
      </c>
      <c r="D50" s="41">
        <f>D49+D31</f>
        <v>11028.38</v>
      </c>
      <c r="E50" s="41">
        <f>E49+E31</f>
        <v>36667.93</v>
      </c>
      <c r="F50" s="41">
        <f>F49+F31</f>
        <v>0</v>
      </c>
      <c r="G50" s="41">
        <f>G49+G31</f>
        <v>199540.62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5066247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4984.63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1823.61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895.15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1891.55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51658.64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4934.79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12638.18</v>
      </c>
      <c r="D61" s="130">
        <f>SUM(D56:D60)</f>
        <v>51658.64</v>
      </c>
      <c r="E61" s="130">
        <f>SUM(E56:E60)</f>
        <v>0</v>
      </c>
      <c r="F61" s="130">
        <f>SUM(F56:F60)</f>
        <v>0</v>
      </c>
      <c r="G61" s="130">
        <f>SUM(G56:G60)</f>
        <v>1891.55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5078885.18</v>
      </c>
      <c r="D62" s="22">
        <f>D55+D61</f>
        <v>51658.64</v>
      </c>
      <c r="E62" s="22">
        <f>E55+E61</f>
        <v>0</v>
      </c>
      <c r="F62" s="22">
        <f>F55+F61</f>
        <v>0</v>
      </c>
      <c r="G62" s="22">
        <f>G55+G61</f>
        <v>1891.55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1446930.33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2239022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1253.67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3687206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51063.3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10022.450000000001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2912.51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61085.75</v>
      </c>
      <c r="D77" s="130">
        <f>SUM(D71:D76)</f>
        <v>2912.51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3748291.75</v>
      </c>
      <c r="D80" s="130">
        <f>SUM(D78:D79)+D77+D69</f>
        <v>2912.51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57526.99</v>
      </c>
      <c r="D87" s="95">
        <f>SUM('DOE25'!G152:G160)</f>
        <v>102543.3</v>
      </c>
      <c r="E87" s="95">
        <f>SUM('DOE25'!H152:H160)</f>
        <v>405422.49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57526.99</v>
      </c>
      <c r="D90" s="131">
        <f>SUM(D84:D89)</f>
        <v>102543.3</v>
      </c>
      <c r="E90" s="131">
        <f>SUM(E84:E89)</f>
        <v>405422.49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59009.41</v>
      </c>
      <c r="E95" s="95">
        <f>'DOE25'!H178</f>
        <v>0</v>
      </c>
      <c r="F95" s="95">
        <f>'DOE25'!I178</f>
        <v>0</v>
      </c>
      <c r="G95" s="95">
        <f>'DOE25'!J178</f>
        <v>159500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59009.41</v>
      </c>
      <c r="E102" s="86">
        <f>SUM(E92:E101)</f>
        <v>0</v>
      </c>
      <c r="F102" s="86">
        <f>SUM(F92:F101)</f>
        <v>0</v>
      </c>
      <c r="G102" s="86">
        <f>SUM(G92:G101)</f>
        <v>159500</v>
      </c>
    </row>
    <row r="103" spans="1:7" ht="12.75" thickTop="1" thickBot="1" x14ac:dyDescent="0.25">
      <c r="A103" s="33" t="s">
        <v>765</v>
      </c>
      <c r="C103" s="86">
        <f>C62+C80+C90+C102</f>
        <v>8884703.9199999999</v>
      </c>
      <c r="D103" s="86">
        <f>D62+D80+D90+D102</f>
        <v>216123.86000000002</v>
      </c>
      <c r="E103" s="86">
        <f>E62+E80+E90+E102</f>
        <v>405422.49</v>
      </c>
      <c r="F103" s="86">
        <f>F62+F80+F90+F102</f>
        <v>0</v>
      </c>
      <c r="G103" s="86">
        <f>G62+G80+G102</f>
        <v>161391.54999999999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4681107.18</v>
      </c>
      <c r="D108" s="24" t="s">
        <v>289</v>
      </c>
      <c r="E108" s="95">
        <f>('DOE25'!L275)+('DOE25'!L294)+('DOE25'!L313)</f>
        <v>298865.33999999997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1615380.6899999997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35475.449999999997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6331963.3199999994</v>
      </c>
      <c r="D114" s="86">
        <f>SUM(D108:D113)</f>
        <v>0</v>
      </c>
      <c r="E114" s="86">
        <f>SUM(E108:E113)</f>
        <v>298865.33999999997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244342.12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102512.53999999998</v>
      </c>
      <c r="D118" s="24" t="s">
        <v>289</v>
      </c>
      <c r="E118" s="95">
        <f>+('DOE25'!L281)+('DOE25'!L300)+('DOE25'!L319)</f>
        <v>90535.41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578468.61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282796.3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16021.739999999987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509739.31999999995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560585.05999999994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67802.41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216123.86000000002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2346246.3600000003</v>
      </c>
      <c r="D127" s="86">
        <f>SUM(D117:D126)</f>
        <v>216123.86000000002</v>
      </c>
      <c r="E127" s="86">
        <f>SUM(E117:E126)</f>
        <v>106557.15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160000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12230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59009.41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161391.54999999999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-1891.5499999999884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390739.41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9068949.0899999999</v>
      </c>
      <c r="D144" s="86">
        <f>(D114+D127+D143)</f>
        <v>216123.86000000002</v>
      </c>
      <c r="E144" s="86">
        <f>(E114+E127+E143)</f>
        <v>405422.49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15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02/98</v>
      </c>
      <c r="C151" s="152" t="str">
        <f>'DOE25'!G490</f>
        <v>02/98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08/12</v>
      </c>
      <c r="C152" s="152" t="str">
        <f>'DOE25'!G491</f>
        <v>08/12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607562</v>
      </c>
      <c r="C153" s="137">
        <f>'DOE25'!G492</f>
        <v>1822684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4.95</v>
      </c>
      <c r="C154" s="137">
        <f>'DOE25'!G493</f>
        <v>4.9000000000000004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80000</v>
      </c>
      <c r="C155" s="137">
        <f>'DOE25'!G494</f>
        <v>120000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200000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40000</v>
      </c>
      <c r="C157" s="137">
        <f>'DOE25'!G496</f>
        <v>120000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160000</v>
      </c>
    </row>
    <row r="158" spans="1:9" x14ac:dyDescent="0.2">
      <c r="A158" s="22" t="s">
        <v>35</v>
      </c>
      <c r="B158" s="137">
        <f>'DOE25'!F497</f>
        <v>40000</v>
      </c>
      <c r="C158" s="137">
        <f>'DOE25'!G497</f>
        <v>120000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160000</v>
      </c>
    </row>
    <row r="159" spans="1:9" x14ac:dyDescent="0.2">
      <c r="A159" s="22" t="s">
        <v>36</v>
      </c>
      <c r="B159" s="137">
        <f>'DOE25'!F498</f>
        <v>1030</v>
      </c>
      <c r="C159" s="137">
        <f>'DOE25'!G498</f>
        <v>3060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4090</v>
      </c>
    </row>
    <row r="160" spans="1:9" x14ac:dyDescent="0.2">
      <c r="A160" s="22" t="s">
        <v>37</v>
      </c>
      <c r="B160" s="137">
        <f>'DOE25'!F499</f>
        <v>41030</v>
      </c>
      <c r="C160" s="137">
        <f>'DOE25'!G499</f>
        <v>123060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164090</v>
      </c>
    </row>
    <row r="161" spans="1:7" x14ac:dyDescent="0.2">
      <c r="A161" s="22" t="s">
        <v>38</v>
      </c>
      <c r="B161" s="137">
        <f>'DOE25'!F500</f>
        <v>40000</v>
      </c>
      <c r="C161" s="137">
        <f>'DOE25'!G500</f>
        <v>120000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160000</v>
      </c>
    </row>
    <row r="162" spans="1:7" x14ac:dyDescent="0.2">
      <c r="A162" s="22" t="s">
        <v>39</v>
      </c>
      <c r="B162" s="137">
        <f>'DOE25'!F501</f>
        <v>1030</v>
      </c>
      <c r="C162" s="137">
        <f>'DOE25'!G501</f>
        <v>3060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4090</v>
      </c>
    </row>
    <row r="163" spans="1:7" x14ac:dyDescent="0.2">
      <c r="A163" s="22" t="s">
        <v>246</v>
      </c>
      <c r="B163" s="137">
        <f>'DOE25'!F502</f>
        <v>41030</v>
      </c>
      <c r="C163" s="137">
        <f>'DOE25'!G502</f>
        <v>123060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164090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F4" sqref="F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Wakefield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13251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13251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4979973</v>
      </c>
      <c r="D10" s="182">
        <f>ROUND((C10/$C$28)*100,1)</f>
        <v>53.8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1615381</v>
      </c>
      <c r="D11" s="182">
        <f>ROUND((C11/$C$28)*100,1)</f>
        <v>17.399999999999999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35475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244342</v>
      </c>
      <c r="D15" s="182">
        <f t="shared" ref="D15:D27" si="0">ROUND((C15/$C$28)*100,1)</f>
        <v>2.6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193048</v>
      </c>
      <c r="D16" s="182">
        <f t="shared" si="0"/>
        <v>2.1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646271</v>
      </c>
      <c r="D17" s="182">
        <f t="shared" si="0"/>
        <v>7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282796</v>
      </c>
      <c r="D18" s="182">
        <f t="shared" si="0"/>
        <v>3.1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16022</v>
      </c>
      <c r="D19" s="182">
        <f t="shared" si="0"/>
        <v>0.2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509739</v>
      </c>
      <c r="D20" s="182">
        <f t="shared" si="0"/>
        <v>5.5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560585</v>
      </c>
      <c r="D21" s="182">
        <f t="shared" si="0"/>
        <v>6.1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12230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164465.35999999999</v>
      </c>
      <c r="D27" s="182">
        <f t="shared" si="0"/>
        <v>1.8</v>
      </c>
    </row>
    <row r="28" spans="1:4" x14ac:dyDescent="0.2">
      <c r="B28" s="187" t="s">
        <v>723</v>
      </c>
      <c r="C28" s="180">
        <f>SUM(C10:C27)</f>
        <v>9260327.3599999994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9260327.3599999994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160000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5066247</v>
      </c>
      <c r="D35" s="182">
        <f t="shared" ref="D35:D40" si="1">ROUND((C35/$C$41)*100,1)</f>
        <v>53.9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14529.730000000447</v>
      </c>
      <c r="D36" s="182">
        <f t="shared" si="1"/>
        <v>0.2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3687206</v>
      </c>
      <c r="D37" s="182">
        <f t="shared" si="1"/>
        <v>39.200000000000003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63998</v>
      </c>
      <c r="D38" s="182">
        <f t="shared" si="1"/>
        <v>0.7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565493</v>
      </c>
      <c r="D39" s="182">
        <f t="shared" si="1"/>
        <v>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9397473.7300000004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" sqref="F4"/>
      <selection pane="bottomLeft" activeCell="C9" sqref="C9:M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6" t="s">
        <v>767</v>
      </c>
      <c r="B2" s="297"/>
      <c r="C2" s="297"/>
      <c r="D2" s="297"/>
      <c r="E2" s="297"/>
      <c r="F2" s="290" t="str">
        <f>'DOE25'!A2</f>
        <v>Wakefield School District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>
        <v>19</v>
      </c>
      <c r="B4" s="220">
        <v>3</v>
      </c>
      <c r="C4" s="280" t="s">
        <v>911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2012-10-09T17:28:47Z</cp:lastPrinted>
  <dcterms:created xsi:type="dcterms:W3CDTF">1997-12-04T19:04:30Z</dcterms:created>
  <dcterms:modified xsi:type="dcterms:W3CDTF">2012-11-27T15:08:33Z</dcterms:modified>
</cp:coreProperties>
</file>