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20" i="1" l="1"/>
  <c r="F520" i="1"/>
  <c r="H590" i="1"/>
  <c r="F471" i="1"/>
  <c r="H574" i="1"/>
  <c r="G574" i="1"/>
  <c r="H232" i="1"/>
  <c r="H214" i="1"/>
  <c r="F49" i="1"/>
  <c r="F125" i="1"/>
  <c r="F116" i="1"/>
  <c r="F117" i="1"/>
  <c r="F56" i="1"/>
  <c r="F464" i="1"/>
  <c r="H206" i="1" l="1"/>
  <c r="H153" i="1" l="1"/>
  <c r="I357" i="1" l="1"/>
  <c r="G471" i="1"/>
  <c r="F497" i="1"/>
  <c r="F498" i="1"/>
  <c r="H603" i="1"/>
  <c r="J275" i="1"/>
  <c r="H275" i="1"/>
  <c r="G275" i="1"/>
  <c r="F275" i="1"/>
  <c r="G357" i="1"/>
  <c r="F357" i="1"/>
  <c r="H207" i="1"/>
  <c r="G196" i="1"/>
  <c r="G206" i="1"/>
  <c r="I206" i="1"/>
  <c r="G204" i="1"/>
  <c r="F204" i="1"/>
  <c r="I202" i="1"/>
  <c r="G202" i="1"/>
  <c r="F202" i="1"/>
  <c r="H201" i="1"/>
  <c r="I201" i="1"/>
  <c r="G201" i="1"/>
  <c r="F201" i="1"/>
  <c r="G197" i="1"/>
  <c r="F197" i="1"/>
  <c r="J196" i="1"/>
  <c r="I196" i="1"/>
  <c r="K196" i="1"/>
  <c r="H196" i="1"/>
  <c r="F196" i="1"/>
  <c r="H154" i="1"/>
  <c r="G13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J432" i="1"/>
  <c r="F433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H639" i="1"/>
  <c r="G640" i="1"/>
  <c r="H640" i="1"/>
  <c r="H641" i="1"/>
  <c r="G642" i="1"/>
  <c r="H642" i="1"/>
  <c r="G643" i="1"/>
  <c r="H643" i="1"/>
  <c r="G644" i="1"/>
  <c r="H646" i="1"/>
  <c r="G648" i="1"/>
  <c r="G649" i="1"/>
  <c r="G650" i="1"/>
  <c r="G651" i="1"/>
  <c r="H651" i="1"/>
  <c r="G652" i="1"/>
  <c r="H652" i="1"/>
  <c r="J652" i="1" s="1"/>
  <c r="G653" i="1"/>
  <c r="H653" i="1"/>
  <c r="J653" i="1" s="1"/>
  <c r="H654" i="1"/>
  <c r="J351" i="1"/>
  <c r="F191" i="1"/>
  <c r="L255" i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I256" i="1" l="1"/>
  <c r="I270" i="1" s="1"/>
  <c r="F31" i="13"/>
  <c r="K256" i="1"/>
  <c r="K270" i="1" s="1"/>
  <c r="G256" i="1"/>
  <c r="G270" i="1" s="1"/>
  <c r="F659" i="1"/>
  <c r="L256" i="1"/>
  <c r="L270" i="1" s="1"/>
  <c r="G631" i="1" s="1"/>
  <c r="J631" i="1" s="1"/>
  <c r="I662" i="1"/>
  <c r="J641" i="1"/>
  <c r="J649" i="1"/>
  <c r="G570" i="1"/>
  <c r="H433" i="1"/>
  <c r="I337" i="1"/>
  <c r="I351" i="1" s="1"/>
  <c r="G31" i="13"/>
  <c r="G33" i="13" s="1"/>
  <c r="J651" i="1"/>
  <c r="F544" i="1"/>
  <c r="I191" i="1"/>
  <c r="K433" i="1"/>
  <c r="G133" i="2" s="1"/>
  <c r="G143" i="2" s="1"/>
  <c r="I433" i="1"/>
  <c r="G433" i="1"/>
  <c r="D102" i="2"/>
  <c r="D31" i="2"/>
  <c r="L361" i="1"/>
  <c r="J648" i="1"/>
  <c r="A22" i="12"/>
  <c r="G144" i="2"/>
  <c r="E90" i="2"/>
  <c r="F139" i="1"/>
  <c r="D50" i="2"/>
  <c r="C80" i="2"/>
  <c r="E77" i="2"/>
  <c r="E80" i="2" s="1"/>
  <c r="F103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D103" i="2" s="1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F663" i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C27" i="10" l="1"/>
  <c r="C28" i="10" s="1"/>
  <c r="G634" i="1"/>
  <c r="J634" i="1" s="1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D26" i="10" l="1"/>
  <c r="D10" i="10"/>
  <c r="D13" i="10"/>
  <c r="D20" i="10"/>
  <c r="D18" i="10"/>
  <c r="D27" i="10"/>
  <c r="D23" i="10"/>
  <c r="D25" i="10"/>
  <c r="D24" i="10"/>
  <c r="D22" i="10"/>
  <c r="C30" i="10"/>
  <c r="D17" i="10"/>
  <c r="D11" i="10"/>
  <c r="D15" i="10"/>
  <c r="D21" i="10"/>
  <c r="D12" i="10"/>
  <c r="D16" i="10"/>
  <c r="D19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28" i="10" l="1"/>
  <c r="D41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<sst xmlns="http://schemas.openxmlformats.org/spreadsheetml/2006/main" count="3945" uniqueCount="912">
  <si>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</si>
  <si>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</si>
  <si>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</si>
  <si>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</si>
  <si>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</si>
  <si>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</si>
  <si>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</si>
  <si>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</si>
  <si>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</si>
  <si>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</si>
  <si>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</si>
  <si>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</si>
  <si>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</si>
  <si>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</si>
  <si>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</si>
  <si>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</si>
  <si>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</si>
  <si>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</si>
  <si>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</si>
  <si>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</si>
  <si>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</si>
  <si>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</si>
  <si>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</si>
  <si>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</si>
  <si>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</si>
  <si>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</si>
  <si>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</si>
  <si>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</si>
  <si>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</si>
  <si>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</si>
  <si>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</si>
  <si>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</si>
  <si>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</si>
  <si>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</si>
  <si>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</si>
  <si>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</si>
  <si>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</si>
  <si>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</si>
  <si>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</si>
  <si>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</si>
  <si>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</si>
  <si>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</si>
  <si>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</si>
  <si>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</si>
  <si>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</si>
  <si>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</si>
  <si>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</si>
  <si>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</si>
  <si>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</si>
  <si>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</si>
  <si>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</si>
  <si>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</si>
  <si>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</si>
  <si>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</si>
  <si>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</si>
  <si>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</si>
  <si>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</si>
  <si>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</si>
  <si>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</si>
  <si>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</si>
  <si>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</si>
  <si>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</si>
  <si>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</si>
  <si>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</si>
  <si>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</si>
  <si>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</si>
  <si>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</si>
  <si>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</si>
  <si>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</si>
  <si>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</si>
  <si>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</si>
  <si>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</si>
  <si>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</si>
  <si>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</si>
  <si>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</si>
  <si>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</si>
  <si>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</si>
  <si>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</si>
  <si>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</si>
  <si>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</si>
  <si>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</si>
  <si>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</si>
  <si>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</si>
  <si>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</si>
  <si>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</si>
  <si>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</si>
  <si>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</si>
  <si>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</si>
  <si>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</si>
  <si>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</si>
  <si>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</si>
  <si>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</si>
  <si>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</si>
  <si>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</si>
  <si>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</si>
  <si>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</si>
  <si>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</si>
  <si>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</si>
  <si>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</si>
  <si>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</si>
  <si>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</si>
  <si>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</si>
  <si>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</si>
  <si>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</si>
  <si>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</si>
  <si>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</si>
  <si>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</si>
  <si>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</si>
  <si>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</si>
  <si>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</si>
  <si>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</si>
  <si>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</si>
  <si>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</si>
  <si>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</si>
  <si>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</si>
  <si>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</si>
  <si>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</si>
  <si>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</si>
  <si>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</si>
  <si>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</si>
  <si>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</si>
  <si>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</si>
  <si>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</si>
  <si>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</si>
  <si>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</si>
  <si>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</si>
  <si>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</si>
  <si>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</si>
  <si>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</si>
  <si>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</si>
  <si>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</si>
  <si>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</si>
  <si>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</si>
  <si>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</si>
  <si>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</si>
  <si>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</si>
  <si>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</si>
  <si>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</si>
  <si>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</si>
  <si>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</si>
  <si>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</si>
  <si>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</si>
  <si>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</si>
  <si>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</si>
  <si>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</si>
  <si>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</si>
  <si>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</si>
  <si>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</si>
  <si>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</si>
  <si>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</si>
  <si>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</si>
  <si>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</si>
  <si>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</si>
  <si>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</si>
  <si>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</si>
  <si>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</si>
  <si>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</si>
  <si>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</si>
  <si>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</si>
  <si>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</si>
  <si>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</si>
  <si>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</si>
  <si>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</si>
  <si>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</si>
  <si>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</si>
  <si>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</si>
  <si>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</si>
  <si>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</si>
  <si>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</si>
  <si>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</si>
  <si>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</si>
  <si>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</si>
  <si>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</si>
  <si>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</si>
  <si>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</si>
  <si>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</si>
  <si>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</si>
  <si>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</si>
  <si>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</si>
  <si>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</si>
  <si>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</si>
  <si>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</si>
  <si>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</si>
  <si>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</si>
  <si>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</si>
  <si>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</si>
  <si>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</si>
  <si>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</si>
  <si>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</si>
  <si>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</si>
  <si>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</si>
  <si>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</si>
  <si>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</si>
  <si>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</si>
  <si>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</si>
  <si>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</si>
  <si>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</si>
  <si>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</si>
  <si>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</si>
  <si>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</si>
  <si>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</si>
  <si>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</si>
  <si>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</si>
  <si>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</si>
  <si>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</si>
  <si>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</si>
  <si>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</si>
  <si>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</si>
  <si>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</si>
  <si>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</si>
  <si>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</si>
  <si>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</si>
  <si>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</si>
  <si>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</si>
  <si>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</si>
  <si>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</si>
  <si>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</si>
  <si>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</si>
  <si>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</si>
  <si>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</si>
  <si>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</si>
  <si>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</si>
  <si>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</si>
  <si>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</si>
  <si>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</si>
  <si>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</si>
  <si>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</si>
  <si>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</si>
  <si>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</si>
  <si>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</si>
  <si>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</si>
  <si>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</si>
  <si>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</si>
  <si>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</si>
  <si>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</si>
  <si>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</si>
  <si>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</si>
  <si>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</si>
  <si>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</si>
  <si>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</si>
  <si>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</si>
  <si>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</si>
  <si>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</si>
  <si>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</si>
  <si>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</si>
  <si>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</si>
  <si>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</si>
  <si>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</si>
  <si>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</si>
  <si>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</si>
  <si>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</si>
  <si>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</si>
  <si>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</si>
  <si>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</si>
  <si>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</si>
  <si>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</si>
  <si>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</si>
  <si>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</si>
  <si>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</si>
  <si>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</si>
  <si>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</si>
  <si>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</si>
  <si>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</si>
  <si>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</si>
  <si>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</si>
  <si>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</si>
  <si>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</si>
  <si>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</si>
  <si>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</si>
  <si>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</si>
  <si>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</si>
  <si>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</si>
  <si>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</si>
  <si>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</si>
  <si>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</si>
  <si>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</si>
  <si>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</si>
  <si>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</si>
  <si>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</si>
  <si>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</si>
  <si>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</si>
  <si>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</si>
  <si>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</si>
  <si>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</si>
  <si>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</si>
  <si>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</si>
  <si>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</si>
  <si>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</si>
  <si>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</si>
  <si>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</si>
  <si>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</si>
  <si>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</si>
  <si>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</si>
  <si>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</si>
  <si>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</si>
  <si>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</si>
  <si>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</si>
  <si>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</si>
  <si>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</si>
  <si>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</si>
  <si>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</si>
  <si>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</si>
  <si>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</si>
  <si>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</si>
  <si>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</si>
  <si>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</si>
  <si>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</si>
  <si>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</si>
  <si>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</si>
  <si>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</si>
  <si>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</si>
  <si>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</si>
  <si>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</si>
  <si>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</si>
  <si>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</si>
  <si>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</si>
  <si>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</si>
  <si>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</si>
  <si>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</si>
  <si>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</si>
  <si>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</si>
  <si>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</si>
  <si>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</si>
  <si>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</si>
  <si>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</si>
  <si>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</si>
  <si>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</si>
  <si>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</si>
  <si>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</si>
  <si>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</si>
  <si>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</si>
  <si>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</si>
  <si>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</si>
  <si>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</si>
  <si>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</si>
  <si>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</si>
  <si>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</si>
  <si>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</si>
  <si>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</si>
  <si>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</si>
  <si>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</si>
  <si>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</si>
  <si>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</si>
  <si>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</si>
  <si>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</si>
  <si>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</si>
  <si>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</si>
  <si>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</si>
  <si>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</si>
  <si>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</si>
  <si>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</si>
  <si>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</si>
  <si>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</si>
  <si>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</si>
  <si>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</si>
  <si>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</si>
  <si>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</si>
  <si>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</si>
  <si>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</si>
  <si>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</si>
  <si>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</si>
  <si>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</si>
  <si>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</si>
  <si>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</si>
  <si>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</si>
  <si>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</si>
  <si>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</si>
  <si>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</si>
  <si>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</si>
  <si>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</si>
  <si>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</si>
  <si>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</si>
  <si>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</si>
  <si>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</si>
  <si>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</si>
  <si>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</si>
  <si>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</si>
  <si>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</si>
  <si>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</si>
  <si>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</si>
  <si>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</si>
  <si>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</si>
  <si>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</si>
  <si>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</si>
  <si>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</si>
  <si>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</si>
  <si>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</si>
  <si>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</si>
  <si>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</si>
  <si>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</si>
  <si>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</si>
  <si>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</si>
  <si>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</si>
  <si>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</si>
  <si>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</si>
  <si>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</si>
  <si>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</si>
  <si>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</si>
  <si>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</si>
  <si>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</si>
  <si>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</si>
  <si>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</si>
  <si>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</si>
  <si>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</si>
  <si>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</si>
  <si>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</si>
  <si>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</si>
  <si>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</si>
  <si>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</si>
  <si>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</si>
  <si>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</si>
  <si>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</si>
  <si>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</si>
  <si>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</si>
  <si>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</si>
  <si>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</si>
  <si>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</si>
  <si>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</si>
  <si>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</si>
  <si>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</si>
  <si>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</si>
  <si>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</si>
  <si>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</si>
  <si>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</si>
  <si>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</si>
  <si>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</si>
  <si>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</si>
  <si>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</si>
  <si>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</si>
  <si>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</si>
  <si>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</si>
  <si>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</si>
  <si>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</si>
  <si>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</si>
  <si>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</si>
  <si>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</si>
  <si>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</si>
  <si>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</si>
  <si>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</si>
  <si>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</si>
  <si>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</si>
  <si>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</si>
  <si>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</si>
  <si>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</si>
  <si>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</si>
  <si>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</si>
  <si>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</si>
  <si>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</si>
  <si>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</si>
  <si>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</si>
  <si>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</si>
  <si>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</si>
  <si>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</si>
  <si>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</si>
  <si>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</si>
  <si>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</si>
  <si>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</si>
  <si>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</si>
  <si>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</si>
  <si>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</si>
  <si>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</si>
  <si>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</si>
  <si>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</si>
  <si>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</si>
  <si>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</si>
  <si>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</si>
  <si>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</si>
  <si>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</si>
  <si>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</si>
  <si>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</si>
  <si>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</si>
  <si>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</si>
  <si>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</si>
  <si>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</si>
  <si>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</si>
  <si>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</si>
  <si>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</si>
  <si>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</si>
  <si>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</si>
  <si>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</si>
  <si>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</si>
  <si>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</si>
  <si>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</si>
  <si>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</si>
  <si>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</si>
  <si>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</si>
  <si>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</si>
  <si>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</si>
  <si>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</si>
  <si>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</si>
  <si>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</si>
  <si>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</si>
  <si>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</si>
  <si>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</si>
  <si>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</si>
  <si>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</si>
  <si>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</si>
  <si>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</si>
  <si>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</si>
  <si>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</si>
  <si>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</si>
  <si>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</si>
  <si>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</si>
  <si>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</si>
  <si>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</si>
  <si>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</si>
  <si>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</si>
  <si>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</si>
  <si>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</si>
  <si>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</si>
  <si>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</si>
  <si>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</si>
  <si>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</si>
  <si>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</si>
  <si>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</si>
  <si>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</si>
  <si>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</si>
  <si>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</si>
  <si>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</si>
  <si>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</si>
  <si>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</si>
  <si>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</si>
  <si>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</si>
  <si>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</si>
  <si>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</si>
  <si>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</si>
  <si>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</si>
  <si>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</si>
  <si>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</si>
  <si>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</si>
  <si>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</si>
  <si>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</si>
  <si>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</si>
  <si>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</si>
  <si>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</si>
  <si>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</si>
  <si>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</si>
  <si>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</si>
  <si>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</si>
  <si>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</si>
  <si>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</si>
  <si>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</si>
  <si>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</si>
  <si>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</si>
  <si>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</si>
  <si>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</si>
  <si>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</si>
  <si>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</si>
  <si>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</si>
  <si>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</si>
  <si>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</si>
  <si>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</si>
  <si>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</si>
  <si>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</si>
  <si>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</si>
  <si>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</si>
  <si>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</si>
  <si>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</si>
  <si>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</si>
  <si>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</si>
  <si>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</si>
  <si>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</si>
  <si>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</si>
  <si>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</si>
  <si>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</si>
  <si>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</si>
  <si>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</si>
  <si>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</si>
  <si>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</si>
  <si>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</si>
  <si>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</si>
  <si>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</si>
  <si>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</si>
  <si>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</si>
  <si>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</si>
  <si>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</si>
  <si>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</si>
  <si>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</si>
  <si>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</si>
  <si>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</si>
  <si>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</si>
  <si>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</si>
  <si>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</si>
  <si>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</si>
  <si>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</si>
  <si>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</si>
  <si>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</si>
  <si>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</si>
  <si>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</si>
  <si>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</si>
  <si>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</si>
  <si>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</si>
  <si>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</si>
  <si>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</si>
  <si>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</si>
  <si>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</si>
  <si>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</si>
  <si>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</si>
  <si>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</si>
  <si>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</si>
  <si>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</si>
  <si>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</si>
  <si>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</si>
  <si>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</si>
  <si>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</si>
  <si>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</si>
  <si>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</si>
  <si>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</si>
  <si>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</si>
  <si>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</si>
  <si>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</si>
  <si>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</si>
  <si>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</si>
  <si>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</si>
  <si>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</si>
  <si>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</si>
  <si>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</si>
  <si>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</si>
  <si>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</si>
  <si>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</si>
  <si>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</si>
  <si>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</si>
  <si>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</si>
  <si>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</si>
  <si>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</si>
  <si>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</si>
  <si>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</si>
  <si>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</si>
  <si>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</si>
  <si>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</si>
  <si>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</si>
  <si>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</si>
  <si>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</si>
  <si>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</si>
  <si>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</si>
  <si>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</si>
  <si>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</si>
  <si>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</si>
  <si>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</si>
  <si>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</si>
  <si>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</si>
  <si>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</si>
  <si>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</si>
  <si>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</si>
  <si>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</si>
  <si>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</si>
  <si>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</si>
  <si>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</si>
  <si>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</si>
  <si>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</si>
  <si>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</si>
  <si>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</si>
  <si>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</si>
  <si>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</si>
  <si>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</si>
  <si>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</si>
  <si>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</si>
  <si>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</si>
  <si>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</si>
  <si>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</si>
  <si>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</si>
  <si>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</si>
  <si>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</si>
  <si>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</si>
  <si>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</si>
  <si>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</si>
  <si>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</si>
  <si>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</si>
  <si>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</si>
  <si>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</si>
  <si>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</si>
  <si>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</si>
  <si>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</si>
  <si>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</si>
  <si>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</si>
  <si>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</si>
  <si>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</si>
  <si>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</si>
  <si>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</si>
  <si>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</si>
  <si>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</si>
  <si>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</si>
  <si>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</si>
  <si>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</si>
  <si>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</si>
  <si>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</si>
  <si>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</si>
  <si>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</si>
  <si>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</si>
  <si>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</si>
  <si>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</si>
  <si>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</si>
  <si>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</si>
  <si>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</si>
  <si>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</si>
  <si>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</si>
  <si>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</si>
  <si>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</si>
  <si>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</si>
  <si>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</si>
  <si>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</si>
  <si>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</si>
  <si>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</si>
  <si>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</si>
  <si>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</si>
  <si>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</si>
  <si>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</si>
  <si>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</si>
  <si>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</si>
  <si>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</si>
  <si>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</si>
  <si>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</si>
  <si>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</si>
  <si>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</si>
  <si>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</si>
  <si>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</si>
  <si>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</si>
  <si>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</si>
  <si>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</si>
  <si>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</si>
  <si>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</si>
  <si>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</si>
  <si>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</si>
  <si>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</si>
  <si>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</si>
  <si>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</si>
  <si>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</si>
  <si>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</si>
  <si>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</si>
  <si>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</si>
  <si>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</si>
  <si>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</si>
  <si>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</si>
  <si>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</si>
  <si>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</si>
  <si>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</si>
  <si>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</si>
  <si>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</si>
  <si>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</si>
  <si>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</si>
  <si>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</si>
  <si>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</si>
  <si>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</si>
  <si>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</si>
  <si>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</si>
  <si>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</si>
  <si>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</si>
  <si>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</si>
  <si>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</si>
  <si>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</si>
  <si>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</si>
  <si>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</si>
  <si>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</si>
  <si>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</si>
  <si>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</si>
  <si>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</si>
  <si>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</si>
  <si>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</si>
  <si>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</si>
  <si>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</si>
  <si>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</si>
  <si>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</si>
  <si>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</si>
  <si>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</si>
  <si>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</si>
  <si>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</si>
  <si>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</si>
  <si>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</si>
  <si>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</si>
  <si>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</si>
  <si>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</si>
  <si>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</si>
  <si>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</si>
  <si>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</si>
  <si>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</si>
  <si>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</si>
  <si>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</si>
  <si>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</si>
  <si>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</si>
  <si>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</si>
  <si>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</si>
  <si>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</si>
  <si>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</si>
  <si>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</si>
  <si>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</si>
  <si>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</si>
  <si>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</si>
  <si>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</si>
  <si>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</si>
  <si>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</si>
  <si>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</si>
  <si>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</si>
  <si>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</si>
  <si>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</si>
  <si>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</si>
  <si>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</si>
  <si>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</si>
  <si>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</si>
  <si>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</si>
  <si>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</si>
  <si>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</si>
  <si>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</si>
  <si>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</si>
  <si>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</si>
  <si>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</si>
  <si>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</si>
  <si>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</si>
  <si>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</si>
  <si>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</si>
  <si>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</si>
  <si>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</si>
  <si>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</si>
  <si>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</si>
  <si>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</si>
  <si>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</si>
  <si>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</si>
  <si>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</si>
  <si>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</si>
  <si>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</si>
  <si>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</si>
  <si>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</si>
  <si>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</si>
  <si>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</si>
  <si>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</si>
  <si>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</si>
  <si>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</si>
  <si>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</si>
  <si>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</si>
  <si>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</si>
  <si>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</si>
  <si>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</si>
  <si>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</si>
  <si>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</si>
  <si>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</si>
  <si>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</si>
  <si>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</si>
  <si>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</si>
  <si>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</si>
  <si>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</si>
  <si>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</si>
  <si>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</si>
  <si>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</si>
  <si>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</si>
  <si>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</si>
  <si>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</si>
  <si>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</si>
  <si>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</si>
  <si>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</si>
  <si>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</si>
  <si>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</si>
  <si>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</si>
  <si>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</si>
  <si>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</si>
  <si>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</si>
  <si>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</si>
  <si>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</si>
  <si>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</si>
  <si>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</si>
  <si>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</si>
  <si>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</si>
  <si>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</si>
  <si>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</si>
  <si>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</si>
  <si>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</si>
  <si>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</si>
  <si>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</si>
  <si>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</si>
  <si>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</si>
  <si>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</si>
  <si>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</si>
  <si>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</si>
  <si>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</si>
  <si>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</si>
  <si>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</si>
  <si>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</si>
  <si>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</si>
  <si>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</si>
  <si>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</si>
  <si>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</si>
  <si>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</si>
  <si>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</si>
  <si>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</si>
  <si>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</si>
  <si>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</si>
  <si>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</si>
  <si>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</si>
  <si>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</si>
  <si>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</si>
  <si>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</si>
  <si>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</si>
  <si>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</si>
  <si>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</si>
  <si>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</si>
  <si>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</si>
  <si>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</si>
  <si>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</si>
  <si>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</si>
  <si>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</si>
  <si>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</si>
  <si>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</si>
  <si>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</si>
  <si>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</si>
  <si>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</si>
  <si>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</si>
  <si>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</si>
  <si>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</si>
  <si>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</si>
  <si>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</si>
  <si>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</si>
  <si>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08/16</t>
  </si>
  <si>
    <t>08/01</t>
  </si>
  <si>
    <t>WASHINGTON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</si>
</sst>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4" sqref="G664:H6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551</v>
      </c>
      <c r="C2" s="21">
        <v>551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311792.89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147740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36220.79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7623+1933</f>
        <v>9556</v>
      </c>
      <c r="H13" s="18">
        <v>44044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348013.68</v>
      </c>
      <c r="G19" s="41">
        <f>SUM(G9:G18)</f>
        <v>9556</v>
      </c>
      <c r="H19" s="41">
        <f>SUM(H9:H18)</f>
        <v>44044</v>
      </c>
      <c r="I19" s="41">
        <f>SUM(I9:I18)</f>
        <v>0</v>
      </c>
      <c r="J19" s="41">
        <f>SUM(J9:J18)</f>
        <v>147740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43844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10400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v>200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4795.0200000000004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15195.02</v>
      </c>
      <c r="G32" s="41">
        <f>SUM(G22:G31)</f>
        <v>0</v>
      </c>
      <c r="H32" s="41">
        <f>SUM(H22:H31)</f>
        <v>44044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9556</v>
      </c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20000</v>
      </c>
      <c r="G47" s="18"/>
      <c r="H47" s="18"/>
      <c r="I47" s="18"/>
      <c r="J47" s="13">
        <f>SUM(I458)</f>
        <v>147740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41446.86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285818.16+748.66-4795.02-10400</f>
        <v>271371.79999999993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332818.65999999992</v>
      </c>
      <c r="G50" s="41">
        <f>SUM(G35:G49)</f>
        <v>9556</v>
      </c>
      <c r="H50" s="41">
        <f>SUM(H35:H49)</f>
        <v>0</v>
      </c>
      <c r="I50" s="41">
        <f>SUM(I35:I49)</f>
        <v>0</v>
      </c>
      <c r="J50" s="41">
        <f>SUM(J35:J49)</f>
        <v>147740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348013.67999999993</v>
      </c>
      <c r="G51" s="41">
        <f>G50+G32</f>
        <v>9556</v>
      </c>
      <c r="H51" s="41">
        <f>H50+H32</f>
        <v>44044</v>
      </c>
      <c r="I51" s="41">
        <f>I50+I32</f>
        <v>0</v>
      </c>
      <c r="J51" s="41">
        <f>J50+J32</f>
        <v>147740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1643926.22-32227.22</f>
        <v>1611699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1611699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8010.22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2030.71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2030.71</v>
      </c>
      <c r="G110" s="41">
        <f>SUM(G95:G109)</f>
        <v>8010.22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1613729.71</v>
      </c>
      <c r="G111" s="41">
        <f>G59+G110</f>
        <v>8010.22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94892-517.77</f>
        <v>94374.23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522540.78+32227.22</f>
        <v>554768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81.77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649224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19921.46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f>19909.19+436</f>
        <v>20345.189999999999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301.27999999999997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40266.649999999994</v>
      </c>
      <c r="G135" s="41">
        <f>SUM(G122:G134)</f>
        <v>301.27999999999997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689490.65</v>
      </c>
      <c r="G139" s="41">
        <f>G120+SUM(G135:G136)</f>
        <v>301.27999999999997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3070.07+16051.14+1063+9059</f>
        <v>29243.21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71130.77-H153</f>
        <v>41887.560000000005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10170.959999999999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5446.91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5446.91</v>
      </c>
      <c r="G161" s="41">
        <f>SUM(G149:G160)</f>
        <v>10170.959999999999</v>
      </c>
      <c r="H161" s="41">
        <f>SUM(H149:H160)</f>
        <v>71130.77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5446.91</v>
      </c>
      <c r="G168" s="41">
        <f>G146+G161+SUM(G162:G167)</f>
        <v>10170.959999999999</v>
      </c>
      <c r="H168" s="41">
        <f>H146+H161+SUM(H162:H167)</f>
        <v>71130.77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9000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9000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9000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2308667.27</v>
      </c>
      <c r="G192" s="47">
        <f>G111+G139+G168+G191</f>
        <v>27482.46</v>
      </c>
      <c r="H192" s="47">
        <f>H111+H139+H168+H191</f>
        <v>71130.77</v>
      </c>
      <c r="I192" s="47">
        <f>I111+I139+I168+I191</f>
        <v>0</v>
      </c>
      <c r="J192" s="47">
        <f>J111+J139+J191</f>
        <v>20000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229208.44+34453.85+515.89</f>
        <v>264178.18</v>
      </c>
      <c r="G196" s="18">
        <f>50497.99+3561.77+517.08+608.93+21630.7+21906.35</f>
        <v>98722.82</v>
      </c>
      <c r="H196" s="18">
        <f>256.92+313.55+10900</f>
        <v>11470.47</v>
      </c>
      <c r="I196" s="18">
        <f>16570.81+3126.35+286.45</f>
        <v>19983.61</v>
      </c>
      <c r="J196" s="18">
        <f>5990.4+3992</f>
        <v>9982.4</v>
      </c>
      <c r="K196" s="18">
        <f>158+1237.69</f>
        <v>1395.69</v>
      </c>
      <c r="L196" s="19">
        <f>SUM(F196:K196)</f>
        <v>405733.17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65933.65+10768.56+3640</f>
        <v>80342.209999999992</v>
      </c>
      <c r="G197" s="18">
        <f>132+183.81+6145.93+6698.4</f>
        <v>13160.14</v>
      </c>
      <c r="H197" s="18">
        <v>99.9</v>
      </c>
      <c r="I197" s="18">
        <v>453.09</v>
      </c>
      <c r="J197" s="18"/>
      <c r="K197" s="18"/>
      <c r="L197" s="19">
        <f>SUM(F197:K197)</f>
        <v>94055.339999999982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32797.5</f>
        <v>32797.5</v>
      </c>
      <c r="G201" s="18">
        <f>6743+416.25+37.8+101.41+2394.23</f>
        <v>9692.69</v>
      </c>
      <c r="H201" s="18">
        <f>294.54+153.79+15995+5223.95+8324.21+31.08</f>
        <v>30022.570000000003</v>
      </c>
      <c r="I201" s="18">
        <f>700</f>
        <v>700</v>
      </c>
      <c r="J201" s="18"/>
      <c r="K201" s="18"/>
      <c r="L201" s="19">
        <f t="shared" ref="L201:L207" si="0">SUM(F201:K201)</f>
        <v>73212.760000000009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1727.24</f>
        <v>1727.24</v>
      </c>
      <c r="G202" s="18">
        <f>132.15+2337.86</f>
        <v>2470.0100000000002</v>
      </c>
      <c r="H202" s="18"/>
      <c r="I202" s="18">
        <f>237.03+759.1</f>
        <v>996.13</v>
      </c>
      <c r="J202" s="18"/>
      <c r="K202" s="18"/>
      <c r="L202" s="19">
        <f t="shared" si="0"/>
        <v>5193.38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1283</v>
      </c>
      <c r="G203" s="18">
        <v>2117</v>
      </c>
      <c r="H203" s="18">
        <v>58926</v>
      </c>
      <c r="I203" s="18">
        <v>163</v>
      </c>
      <c r="J203" s="18"/>
      <c r="K203" s="18">
        <v>2388</v>
      </c>
      <c r="L203" s="19">
        <f t="shared" si="0"/>
        <v>64877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27200+20159.96</f>
        <v>47359.96</v>
      </c>
      <c r="G204" s="18">
        <f>2081.07+1542.23+3096.42</f>
        <v>6719.72</v>
      </c>
      <c r="H204" s="18"/>
      <c r="I204" s="18">
        <v>900</v>
      </c>
      <c r="J204" s="18"/>
      <c r="K204" s="18"/>
      <c r="L204" s="19">
        <f t="shared" si="0"/>
        <v>54979.68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39829.42</v>
      </c>
      <c r="G206" s="18">
        <f>555+52.8+101.07+3046.86+3355.15</f>
        <v>7110.88</v>
      </c>
      <c r="H206" s="18">
        <f>4116+40+41993.36+37327.32+2891.64+948.7+129.67-46250</f>
        <v>41196.689999999988</v>
      </c>
      <c r="I206" s="18">
        <f>5925.88+200+20244+3947.35+25721.76</f>
        <v>56038.99</v>
      </c>
      <c r="J206" s="18"/>
      <c r="K206" s="18"/>
      <c r="L206" s="19">
        <f t="shared" si="0"/>
        <v>144175.97999999998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2193.88+27589.5+27589.5</f>
        <v>57372.880000000005</v>
      </c>
      <c r="I207" s="18"/>
      <c r="J207" s="18"/>
      <c r="K207" s="18"/>
      <c r="L207" s="19">
        <f t="shared" si="0"/>
        <v>57372.880000000005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467517.51</v>
      </c>
      <c r="G210" s="41">
        <f t="shared" si="1"/>
        <v>139993.26</v>
      </c>
      <c r="H210" s="41">
        <f t="shared" si="1"/>
        <v>199088.51</v>
      </c>
      <c r="I210" s="41">
        <f t="shared" si="1"/>
        <v>79234.820000000007</v>
      </c>
      <c r="J210" s="41">
        <f t="shared" si="1"/>
        <v>9982.4</v>
      </c>
      <c r="K210" s="41">
        <f t="shared" si="1"/>
        <v>3783.69</v>
      </c>
      <c r="L210" s="41">
        <f t="shared" si="1"/>
        <v>899600.19000000006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532934.83+5747</f>
        <v>538681.82999999996</v>
      </c>
      <c r="I214" s="18"/>
      <c r="J214" s="18"/>
      <c r="K214" s="18"/>
      <c r="L214" s="19">
        <f>SUM(F214:K214)</f>
        <v>538681.82999999996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791</v>
      </c>
      <c r="G221" s="18">
        <v>1306</v>
      </c>
      <c r="H221" s="18">
        <v>36337</v>
      </c>
      <c r="I221" s="18">
        <v>101</v>
      </c>
      <c r="J221" s="18"/>
      <c r="K221" s="18">
        <v>1473</v>
      </c>
      <c r="L221" s="19">
        <f t="shared" si="2"/>
        <v>40008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27589.5</v>
      </c>
      <c r="I225" s="18"/>
      <c r="J225" s="18"/>
      <c r="K225" s="18"/>
      <c r="L225" s="19">
        <f t="shared" si="2"/>
        <v>27589.5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791</v>
      </c>
      <c r="G228" s="41">
        <f>SUM(G214:G227)</f>
        <v>1306</v>
      </c>
      <c r="H228" s="41">
        <f>SUM(H214:H227)</f>
        <v>602608.32999999996</v>
      </c>
      <c r="I228" s="41">
        <f>SUM(I214:I227)</f>
        <v>101</v>
      </c>
      <c r="J228" s="41">
        <f>SUM(J214:J227)</f>
        <v>0</v>
      </c>
      <c r="K228" s="41">
        <f t="shared" si="3"/>
        <v>1473</v>
      </c>
      <c r="L228" s="41">
        <f t="shared" si="3"/>
        <v>606279.32999999996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605982.2+4653</f>
        <v>610635.19999999995</v>
      </c>
      <c r="I232" s="18"/>
      <c r="J232" s="18"/>
      <c r="K232" s="18"/>
      <c r="L232" s="19">
        <f>SUM(F232:K232)</f>
        <v>610635.19999999995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1176</v>
      </c>
      <c r="G239" s="18">
        <v>1941</v>
      </c>
      <c r="H239" s="18">
        <v>54015</v>
      </c>
      <c r="I239" s="18">
        <v>150</v>
      </c>
      <c r="J239" s="18"/>
      <c r="K239" s="18">
        <v>2189</v>
      </c>
      <c r="L239" s="19">
        <f t="shared" si="4"/>
        <v>59471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27589.5</v>
      </c>
      <c r="I243" s="18"/>
      <c r="J243" s="18"/>
      <c r="K243" s="18"/>
      <c r="L243" s="19">
        <f t="shared" si="4"/>
        <v>27589.5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1176</v>
      </c>
      <c r="G246" s="41">
        <f t="shared" si="5"/>
        <v>1941</v>
      </c>
      <c r="H246" s="41">
        <f t="shared" si="5"/>
        <v>692239.7</v>
      </c>
      <c r="I246" s="41">
        <f t="shared" si="5"/>
        <v>150</v>
      </c>
      <c r="J246" s="41">
        <f t="shared" si="5"/>
        <v>0</v>
      </c>
      <c r="K246" s="41">
        <f t="shared" si="5"/>
        <v>2189</v>
      </c>
      <c r="L246" s="41">
        <f t="shared" si="5"/>
        <v>697695.7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469484.51</v>
      </c>
      <c r="G256" s="41">
        <f t="shared" si="8"/>
        <v>143240.26</v>
      </c>
      <c r="H256" s="41">
        <f t="shared" si="8"/>
        <v>1493936.54</v>
      </c>
      <c r="I256" s="41">
        <f t="shared" si="8"/>
        <v>79485.820000000007</v>
      </c>
      <c r="J256" s="41">
        <f t="shared" si="8"/>
        <v>9982.4</v>
      </c>
      <c r="K256" s="41">
        <f t="shared" si="8"/>
        <v>7445.6900000000005</v>
      </c>
      <c r="L256" s="41">
        <f t="shared" si="8"/>
        <v>2203575.2199999997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75000</v>
      </c>
      <c r="L259" s="19">
        <f>SUM(F259:K259)</f>
        <v>75000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15211</v>
      </c>
      <c r="L260" s="19">
        <f>SUM(F260:K260)</f>
        <v>15211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9000</v>
      </c>
      <c r="L262" s="19">
        <f>SUM(F262:K262)</f>
        <v>9000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119211</v>
      </c>
      <c r="L269" s="41">
        <f t="shared" si="9"/>
        <v>119211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469484.51</v>
      </c>
      <c r="G270" s="42">
        <f t="shared" si="11"/>
        <v>143240.26</v>
      </c>
      <c r="H270" s="42">
        <f t="shared" si="11"/>
        <v>1493936.54</v>
      </c>
      <c r="I270" s="42">
        <f t="shared" si="11"/>
        <v>79485.820000000007</v>
      </c>
      <c r="J270" s="42">
        <f t="shared" si="11"/>
        <v>9982.4</v>
      </c>
      <c r="K270" s="42">
        <f t="shared" si="11"/>
        <v>126656.69</v>
      </c>
      <c r="L270" s="42">
        <f t="shared" si="11"/>
        <v>2322786.2199999997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750+435+384.44+2234.97+11480.27+10000+140+3232.24+9058.76</f>
        <v>37715.68</v>
      </c>
      <c r="G275" s="18">
        <f>104.63+57.38+33.28+36.26+53.58+1049.22+10.6+267.75+15.82</f>
        <v>1628.5199999999998</v>
      </c>
      <c r="H275" s="18">
        <f>885+350+14133</f>
        <v>15368</v>
      </c>
      <c r="I275" s="18">
        <v>7737</v>
      </c>
      <c r="J275" s="18">
        <f>998+1257+1204.06+459+2907.42</f>
        <v>6825.48</v>
      </c>
      <c r="K275" s="18">
        <v>1856.09</v>
      </c>
      <c r="L275" s="19">
        <f>SUM(F275:K275)</f>
        <v>71130.76999999999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37715.68</v>
      </c>
      <c r="G289" s="42">
        <f t="shared" si="13"/>
        <v>1628.5199999999998</v>
      </c>
      <c r="H289" s="42">
        <f t="shared" si="13"/>
        <v>15368</v>
      </c>
      <c r="I289" s="42">
        <f t="shared" si="13"/>
        <v>7737</v>
      </c>
      <c r="J289" s="42">
        <f t="shared" si="13"/>
        <v>6825.48</v>
      </c>
      <c r="K289" s="42">
        <f t="shared" si="13"/>
        <v>1856.09</v>
      </c>
      <c r="L289" s="41">
        <f t="shared" si="13"/>
        <v>71130.76999999999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37715.68</v>
      </c>
      <c r="G337" s="41">
        <f t="shared" si="20"/>
        <v>1628.5199999999998</v>
      </c>
      <c r="H337" s="41">
        <f t="shared" si="20"/>
        <v>15368</v>
      </c>
      <c r="I337" s="41">
        <f t="shared" si="20"/>
        <v>7737</v>
      </c>
      <c r="J337" s="41">
        <f t="shared" si="20"/>
        <v>6825.48</v>
      </c>
      <c r="K337" s="41">
        <f t="shared" si="20"/>
        <v>1856.09</v>
      </c>
      <c r="L337" s="41">
        <f t="shared" si="20"/>
        <v>71130.76999999999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37715.68</v>
      </c>
      <c r="G351" s="41">
        <f>G337</f>
        <v>1628.5199999999998</v>
      </c>
      <c r="H351" s="41">
        <f>H337</f>
        <v>15368</v>
      </c>
      <c r="I351" s="41">
        <f>I337</f>
        <v>7737</v>
      </c>
      <c r="J351" s="41">
        <f>J337</f>
        <v>6825.48</v>
      </c>
      <c r="K351" s="47">
        <f>K337+K350</f>
        <v>1856.09</v>
      </c>
      <c r="L351" s="41">
        <f>L337+L350</f>
        <v>71130.76999999999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15640</f>
        <v>15640</v>
      </c>
      <c r="G357" s="18">
        <f>1196.58</f>
        <v>1196.58</v>
      </c>
      <c r="H357" s="18">
        <v>299</v>
      </c>
      <c r="I357" s="18">
        <f>75+11003.82+1.06</f>
        <v>11079.88</v>
      </c>
      <c r="J357" s="18"/>
      <c r="K357" s="18"/>
      <c r="L357" s="13">
        <f>SUM(F357:K357)</f>
        <v>28215.46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15640</v>
      </c>
      <c r="G361" s="47">
        <f t="shared" si="22"/>
        <v>1196.58</v>
      </c>
      <c r="H361" s="47">
        <f t="shared" si="22"/>
        <v>299</v>
      </c>
      <c r="I361" s="47">
        <f t="shared" si="22"/>
        <v>11079.88</v>
      </c>
      <c r="J361" s="47">
        <f t="shared" si="22"/>
        <v>0</v>
      </c>
      <c r="K361" s="47">
        <f t="shared" si="22"/>
        <v>0</v>
      </c>
      <c r="L361" s="47">
        <f t="shared" si="22"/>
        <v>28215.46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11004.88</v>
      </c>
      <c r="G366" s="18"/>
      <c r="H366" s="18"/>
      <c r="I366" s="56">
        <f>SUM(F366:H366)</f>
        <v>11004.88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75</v>
      </c>
      <c r="G367" s="63"/>
      <c r="H367" s="63"/>
      <c r="I367" s="56">
        <f>SUM(F367:H367)</f>
        <v>75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11079.88</v>
      </c>
      <c r="G368" s="47">
        <f>SUM(G366:G367)</f>
        <v>0</v>
      </c>
      <c r="H368" s="47">
        <f>SUM(H366:H367)</f>
        <v>0</v>
      </c>
      <c r="I368" s="47">
        <f>SUM(I366:I367)</f>
        <v>11079.88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20000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20000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147740</v>
      </c>
      <c r="H439" s="18"/>
      <c r="I439" s="56">
        <f t="shared" si="33"/>
        <v>147740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147740</v>
      </c>
      <c r="H445" s="13">
        <f>SUM(H438:H444)</f>
        <v>0</v>
      </c>
      <c r="I445" s="13">
        <f>SUM(I438:I444)</f>
        <v>147740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147740</v>
      </c>
      <c r="H458" s="18"/>
      <c r="I458" s="56">
        <f t="shared" si="34"/>
        <v>147740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147740</v>
      </c>
      <c r="H459" s="83">
        <f>SUM(H453:H458)</f>
        <v>0</v>
      </c>
      <c r="I459" s="83">
        <f>SUM(I453:I458)</f>
        <v>147740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147740</v>
      </c>
      <c r="H460" s="42">
        <f>H451+H459</f>
        <v>0</v>
      </c>
      <c r="I460" s="42">
        <f>I451+I459</f>
        <v>147740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347265-0.11+4-331.28</f>
        <v>346937.61</v>
      </c>
      <c r="G464" s="18">
        <v>10289</v>
      </c>
      <c r="H464" s="18">
        <v>0</v>
      </c>
      <c r="I464" s="18"/>
      <c r="J464" s="18">
        <v>127740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2308667.27</v>
      </c>
      <c r="G467" s="18">
        <v>27482.46</v>
      </c>
      <c r="H467" s="18">
        <v>71130.77</v>
      </c>
      <c r="I467" s="18"/>
      <c r="J467" s="18">
        <v>20000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2308667.27</v>
      </c>
      <c r="G469" s="53">
        <f>SUM(G467:G468)</f>
        <v>27482.46</v>
      </c>
      <c r="H469" s="53">
        <f>SUM(H467:H468)</f>
        <v>71130.77</v>
      </c>
      <c r="I469" s="53">
        <f>SUM(I467:I468)</f>
        <v>0</v>
      </c>
      <c r="J469" s="53">
        <f>SUM(J467:J468)</f>
        <v>20000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2358967.5-46250-331.28+10400</f>
        <v>2322786.2200000002</v>
      </c>
      <c r="G471" s="18">
        <f>28214.4+1.06</f>
        <v>28215.460000000003</v>
      </c>
      <c r="H471" s="18">
        <v>71130.77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2322786.2200000002</v>
      </c>
      <c r="G473" s="53">
        <f>SUM(G471:G472)</f>
        <v>28215.460000000003</v>
      </c>
      <c r="H473" s="53">
        <f>SUM(H471:H472)</f>
        <v>71130.77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332818.65999999968</v>
      </c>
      <c r="G475" s="53">
        <f>(G464+G469)- G473</f>
        <v>9555.9999999999964</v>
      </c>
      <c r="H475" s="53">
        <f>(H464+H469)- H473</f>
        <v>0</v>
      </c>
      <c r="I475" s="53">
        <f>(I464+I469)- I473</f>
        <v>0</v>
      </c>
      <c r="J475" s="53">
        <f>(J464+J469)- J473</f>
        <v>147740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7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909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1105012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430000</v>
      </c>
      <c r="G494" s="18"/>
      <c r="H494" s="18"/>
      <c r="I494" s="18"/>
      <c r="J494" s="18"/>
      <c r="K494" s="53">
        <f>SUM(F494:J494)</f>
        <v>430000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75000</v>
      </c>
      <c r="G496" s="18"/>
      <c r="H496" s="18"/>
      <c r="I496" s="18"/>
      <c r="J496" s="18"/>
      <c r="K496" s="53">
        <f t="shared" si="35"/>
        <v>75000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355000</v>
      </c>
      <c r="G497" s="205"/>
      <c r="H497" s="205"/>
      <c r="I497" s="205"/>
      <c r="J497" s="205"/>
      <c r="K497" s="206">
        <f t="shared" si="35"/>
        <v>355000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205">
        <f>59575-18205</f>
        <v>41370</v>
      </c>
      <c r="G498" s="18"/>
      <c r="H498" s="18"/>
      <c r="I498" s="18"/>
      <c r="J498" s="18"/>
      <c r="K498" s="53">
        <f t="shared" si="35"/>
        <v>41370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396370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396370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75000</v>
      </c>
      <c r="G500" s="205"/>
      <c r="H500" s="205"/>
      <c r="I500" s="205"/>
      <c r="J500" s="205"/>
      <c r="K500" s="206">
        <f t="shared" si="35"/>
        <v>75000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14830</v>
      </c>
      <c r="G501" s="18"/>
      <c r="H501" s="18"/>
      <c r="I501" s="18"/>
      <c r="J501" s="18"/>
      <c r="K501" s="53">
        <f t="shared" si="35"/>
        <v>14830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89830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89830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65933.65+10768.56+3640</f>
        <v>80342.209999999992</v>
      </c>
      <c r="G520" s="18">
        <f>132+183.81+6145.93+6698.4</f>
        <v>13160.14</v>
      </c>
      <c r="H520" s="18">
        <v>99.9</v>
      </c>
      <c r="I520" s="18">
        <v>453.09</v>
      </c>
      <c r="J520" s="18"/>
      <c r="K520" s="18"/>
      <c r="L520" s="88">
        <f>SUM(F520:K520)</f>
        <v>94055.339999999982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80342.209999999992</v>
      </c>
      <c r="G523" s="108">
        <f t="shared" ref="G523:L523" si="36">SUM(G520:G522)</f>
        <v>13160.14</v>
      </c>
      <c r="H523" s="108">
        <f t="shared" si="36"/>
        <v>99.9</v>
      </c>
      <c r="I523" s="108">
        <f t="shared" si="36"/>
        <v>453.09</v>
      </c>
      <c r="J523" s="108">
        <f t="shared" si="36"/>
        <v>0</v>
      </c>
      <c r="K523" s="108">
        <f t="shared" si="36"/>
        <v>0</v>
      </c>
      <c r="L523" s="89">
        <f t="shared" si="36"/>
        <v>94055.339999999982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0</v>
      </c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80342.209999999992</v>
      </c>
      <c r="G544" s="89">
        <f t="shared" ref="G544:L544" si="41">G523+G528+G533+G538+G543</f>
        <v>13160.14</v>
      </c>
      <c r="H544" s="89">
        <f t="shared" si="41"/>
        <v>99.9</v>
      </c>
      <c r="I544" s="89">
        <f t="shared" si="41"/>
        <v>453.09</v>
      </c>
      <c r="J544" s="89">
        <f t="shared" si="41"/>
        <v>0</v>
      </c>
      <c r="K544" s="89">
        <f t="shared" si="41"/>
        <v>0</v>
      </c>
      <c r="L544" s="89">
        <f t="shared" si="41"/>
        <v>94055.339999999982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94055.339999999982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94055.339999999982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94055.339999999982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94055.339999999982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10900</v>
      </c>
      <c r="G574" s="18">
        <f>532935+5747</f>
        <v>538682</v>
      </c>
      <c r="H574" s="18">
        <f>605982+4653</f>
        <v>610635</v>
      </c>
      <c r="I574" s="87">
        <f>SUM(F574:H574)</f>
        <v>1160217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57372.88-2194</f>
        <v>55178.879999999997</v>
      </c>
      <c r="I590" s="18">
        <v>27589.5</v>
      </c>
      <c r="J590" s="18">
        <v>27589.5</v>
      </c>
      <c r="K590" s="104">
        <f t="shared" ref="K590:K596" si="48">SUM(H590:J590)</f>
        <v>110357.88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2194</v>
      </c>
      <c r="I594" s="18"/>
      <c r="J594" s="18"/>
      <c r="K594" s="104">
        <f t="shared" si="48"/>
        <v>2194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57372.88</v>
      </c>
      <c r="I597" s="108">
        <f>SUM(I590:I596)</f>
        <v>27589.5</v>
      </c>
      <c r="J597" s="108">
        <f>SUM(J590:J596)</f>
        <v>27589.5</v>
      </c>
      <c r="K597" s="108">
        <f>SUM(K590:K596)</f>
        <v>112551.88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9982.4+6825.48</f>
        <v>16807.879999999997</v>
      </c>
      <c r="I603" s="18"/>
      <c r="J603" s="18"/>
      <c r="K603" s="104">
        <f>SUM(H603:J603)</f>
        <v>16807.879999999997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16807.879999999997</v>
      </c>
      <c r="I604" s="108">
        <f>SUM(I601:I603)</f>
        <v>0</v>
      </c>
      <c r="J604" s="108">
        <f>SUM(J601:J603)</f>
        <v>0</v>
      </c>
      <c r="K604" s="108">
        <f>SUM(K601:K603)</f>
        <v>16807.879999999997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348013.68</v>
      </c>
      <c r="H616" s="109">
        <f>SUM(F51)</f>
        <v>348013.67999999993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9556</v>
      </c>
      <c r="H617" s="109">
        <f>SUM(G51)</f>
        <v>9556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44044</v>
      </c>
      <c r="H618" s="109">
        <f>SUM(H51)</f>
        <v>44044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147740</v>
      </c>
      <c r="H620" s="109">
        <f>SUM(J51)</f>
        <v>147740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332818.65999999992</v>
      </c>
      <c r="H621" s="109">
        <f>F475</f>
        <v>332818.65999999968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9556</v>
      </c>
      <c r="H622" s="109">
        <f>G475</f>
        <v>9555.9999999999964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147740</v>
      </c>
      <c r="H625" s="109">
        <f>J475</f>
        <v>147740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2308667.27</v>
      </c>
      <c r="H626" s="104">
        <f>SUM(F467)</f>
        <v>2308667.27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27482.46</v>
      </c>
      <c r="H627" s="104">
        <f>SUM(G467)</f>
        <v>27482.46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71130.77</v>
      </c>
      <c r="H628" s="104">
        <f>SUM(H467)</f>
        <v>71130.77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20000</v>
      </c>
      <c r="H630" s="104">
        <f>SUM(J467)</f>
        <v>20000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2322786.2199999997</v>
      </c>
      <c r="H631" s="104">
        <f>SUM(F471)</f>
        <v>2322786.2200000002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71130.76999999999</v>
      </c>
      <c r="H632" s="104">
        <f>SUM(H471)</f>
        <v>71130.77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11079.88</v>
      </c>
      <c r="H633" s="104">
        <f>I368</f>
        <v>11079.88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28215.46</v>
      </c>
      <c r="H634" s="104">
        <f>SUM(G471)</f>
        <v>28215.460000000003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20000</v>
      </c>
      <c r="H636" s="164">
        <f>SUM(J467)</f>
        <v>20000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147740</v>
      </c>
      <c r="H639" s="104">
        <f>SUM(G460)</f>
        <v>147740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147740</v>
      </c>
      <c r="H641" s="104">
        <f>SUM(I460)</f>
        <v>147740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20000</v>
      </c>
      <c r="H645" s="104">
        <f>L407</f>
        <v>20000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112551.88</v>
      </c>
      <c r="H646" s="104">
        <f>L207+L225+L243</f>
        <v>112551.88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16807.879999999997</v>
      </c>
      <c r="H647" s="104">
        <f>(J256+J337)-(J254+J335)</f>
        <v>16807.879999999997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57372.880000000005</v>
      </c>
      <c r="H648" s="104">
        <f>H597</f>
        <v>57372.88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27589.5</v>
      </c>
      <c r="H649" s="104">
        <f>I597</f>
        <v>27589.5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27589.5</v>
      </c>
      <c r="H650" s="104">
        <f>J597</f>
        <v>27589.5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9000</v>
      </c>
      <c r="H651" s="104">
        <f>K262+K344</f>
        <v>9000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998946.42</v>
      </c>
      <c r="G659" s="19">
        <f>(L228+L308+L358)</f>
        <v>606279.32999999996</v>
      </c>
      <c r="H659" s="19">
        <f>(L246+L327+L359)</f>
        <v>697695.7</v>
      </c>
      <c r="I659" s="19">
        <f>SUM(F659:H659)</f>
        <v>2302921.4500000002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8010.22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8010.22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57372.880000000005</v>
      </c>
      <c r="G661" s="19">
        <f>(L225+L305)-(J225+J305)</f>
        <v>27589.5</v>
      </c>
      <c r="H661" s="19">
        <f>(L243+L324)-(J243+J324)</f>
        <v>27589.5</v>
      </c>
      <c r="I661" s="19">
        <f>SUM(F661:H661)</f>
        <v>112551.88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27707.879999999997</v>
      </c>
      <c r="G662" s="200">
        <f>SUM(G574:G586)+SUM(I601:I603)+L611</f>
        <v>538682</v>
      </c>
      <c r="H662" s="200">
        <f>SUM(H574:H586)+SUM(J601:J603)+L612</f>
        <v>610635</v>
      </c>
      <c r="I662" s="19">
        <f>SUM(F662:H662)</f>
        <v>1177024.8799999999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905855.44000000006</v>
      </c>
      <c r="G663" s="19">
        <f>G659-SUM(G660:G662)</f>
        <v>40007.829999999958</v>
      </c>
      <c r="H663" s="19">
        <f>H659-SUM(H660:H662)</f>
        <v>59471.199999999953</v>
      </c>
      <c r="I663" s="19">
        <f>I659-SUM(I660:I662)</f>
        <v>1005334.4700000002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56.16</v>
      </c>
      <c r="G664" s="249"/>
      <c r="H664" s="249"/>
      <c r="I664" s="19">
        <f>SUM(F664:H664)</f>
        <v>56.16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16129.9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17901.25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-40007.83</v>
      </c>
      <c r="H668" s="18">
        <v>-59471.199999999997</v>
      </c>
      <c r="I668" s="19">
        <f>SUM(F668:H668)</f>
        <v>-99479.03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16129.9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16129.9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WASHINGTON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301893.86</v>
      </c>
      <c r="C9" s="230">
        <f>'DOE25'!G196+'DOE25'!G214+'DOE25'!G232+'DOE25'!G275+'DOE25'!G294+'DOE25'!G313</f>
        <v>100351.34000000001</v>
      </c>
    </row>
    <row r="10" spans="1:3" x14ac:dyDescent="0.2">
      <c r="A10" t="s">
        <v>779</v>
      </c>
      <c r="B10" s="241">
        <v>266924.12</v>
      </c>
      <c r="C10" s="241">
        <v>80804.59</v>
      </c>
    </row>
    <row r="11" spans="1:3" x14ac:dyDescent="0.2">
      <c r="A11" t="s">
        <v>780</v>
      </c>
      <c r="B11" s="241">
        <v>34453.85</v>
      </c>
      <c r="C11" s="241">
        <v>19507.29</v>
      </c>
    </row>
    <row r="12" spans="1:3" x14ac:dyDescent="0.2">
      <c r="A12" t="s">
        <v>781</v>
      </c>
      <c r="B12" s="241">
        <v>515.89</v>
      </c>
      <c r="C12" s="241">
        <v>39.46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301893.86</v>
      </c>
      <c r="C13" s="232">
        <f>SUM(C10:C12)</f>
        <v>100351.34000000001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80342.209999999992</v>
      </c>
      <c r="C18" s="230">
        <f>'DOE25'!G197+'DOE25'!G215+'DOE25'!G233+'DOE25'!G276+'DOE25'!G295+'DOE25'!G314</f>
        <v>13160.14</v>
      </c>
    </row>
    <row r="19" spans="1:3" x14ac:dyDescent="0.2">
      <c r="A19" t="s">
        <v>779</v>
      </c>
      <c r="B19" s="241">
        <v>65933.649999999994</v>
      </c>
      <c r="C19" s="241">
        <v>11637.29</v>
      </c>
    </row>
    <row r="20" spans="1:3" x14ac:dyDescent="0.2">
      <c r="A20" t="s">
        <v>780</v>
      </c>
      <c r="B20" s="241">
        <v>10768.56</v>
      </c>
      <c r="C20" s="241">
        <v>1244.3900000000001</v>
      </c>
    </row>
    <row r="21" spans="1:3" x14ac:dyDescent="0.2">
      <c r="A21" t="s">
        <v>781</v>
      </c>
      <c r="B21" s="241">
        <v>3640</v>
      </c>
      <c r="C21" s="241">
        <v>278.45999999999998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80342.209999999992</v>
      </c>
      <c r="C22" s="232">
        <f>SUM(C19:C21)</f>
        <v>13160.14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WASHINGTON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1649105.5399999998</v>
      </c>
      <c r="D5" s="20">
        <f>SUM('DOE25'!L196:L199)+SUM('DOE25'!L214:L217)+SUM('DOE25'!L232:L235)-F5-G5</f>
        <v>1637727.45</v>
      </c>
      <c r="E5" s="244"/>
      <c r="F5" s="256">
        <f>SUM('DOE25'!J196:J199)+SUM('DOE25'!J214:J217)+SUM('DOE25'!J232:J235)</f>
        <v>9982.4</v>
      </c>
      <c r="G5" s="53">
        <f>SUM('DOE25'!K196:K199)+SUM('DOE25'!K214:K217)+SUM('DOE25'!K232:K235)</f>
        <v>1395.69</v>
      </c>
      <c r="H5" s="260"/>
    </row>
    <row r="6" spans="1:9" x14ac:dyDescent="0.2">
      <c r="A6" s="32">
        <v>2100</v>
      </c>
      <c r="B6" t="s">
        <v>801</v>
      </c>
      <c r="C6" s="246">
        <f t="shared" si="0"/>
        <v>73212.760000000009</v>
      </c>
      <c r="D6" s="20">
        <f>'DOE25'!L201+'DOE25'!L219+'DOE25'!L237-F6-G6</f>
        <v>73212.760000000009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5193.38</v>
      </c>
      <c r="D7" s="20">
        <f>'DOE25'!L202+'DOE25'!L220+'DOE25'!L238-F7-G7</f>
        <v>5193.38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124898</v>
      </c>
      <c r="D8" s="244"/>
      <c r="E8" s="20">
        <f>'DOE25'!L203+'DOE25'!L221+'DOE25'!L239-F8-G8-D9-D11</f>
        <v>118848</v>
      </c>
      <c r="F8" s="256">
        <f>'DOE25'!J203+'DOE25'!J221+'DOE25'!J239</f>
        <v>0</v>
      </c>
      <c r="G8" s="53">
        <f>'DOE25'!K203+'DOE25'!K221+'DOE25'!K239</f>
        <v>6050</v>
      </c>
      <c r="H8" s="260"/>
    </row>
    <row r="9" spans="1:9" x14ac:dyDescent="0.2">
      <c r="A9" s="32">
        <v>2310</v>
      </c>
      <c r="B9" t="s">
        <v>818</v>
      </c>
      <c r="C9" s="246">
        <f t="shared" si="0"/>
        <v>9011</v>
      </c>
      <c r="D9" s="245">
        <v>9011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8400</v>
      </c>
      <c r="D10" s="244"/>
      <c r="E10" s="245">
        <v>8400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30447</v>
      </c>
      <c r="D11" s="245">
        <v>30447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54979.68</v>
      </c>
      <c r="D12" s="20">
        <f>'DOE25'!L204+'DOE25'!L222+'DOE25'!L240-F12-G12</f>
        <v>54979.68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144175.97999999998</v>
      </c>
      <c r="D14" s="20">
        <f>'DOE25'!L206+'DOE25'!L224+'DOE25'!L242-F14-G14</f>
        <v>144175.97999999998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112551.88</v>
      </c>
      <c r="D15" s="20">
        <f>'DOE25'!L207+'DOE25'!L225+'DOE25'!L243-F15-G15</f>
        <v>112551.88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90211</v>
      </c>
      <c r="D25" s="244"/>
      <c r="E25" s="244"/>
      <c r="F25" s="259"/>
      <c r="G25" s="257"/>
      <c r="H25" s="258">
        <f>'DOE25'!L259+'DOE25'!L260+'DOE25'!L340+'DOE25'!L341</f>
        <v>90211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17210.580000000002</v>
      </c>
      <c r="D29" s="20">
        <f>'DOE25'!L357+'DOE25'!L358+'DOE25'!L359-'DOE25'!I366-F29-G29</f>
        <v>17210.580000000002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71130.76999999999</v>
      </c>
      <c r="D31" s="20">
        <f>'DOE25'!L289+'DOE25'!L308+'DOE25'!L327+'DOE25'!L332+'DOE25'!L333+'DOE25'!L334-F31-G31</f>
        <v>62449.2</v>
      </c>
      <c r="E31" s="244"/>
      <c r="F31" s="256">
        <f>'DOE25'!J289+'DOE25'!J308+'DOE25'!J327+'DOE25'!J332+'DOE25'!J333+'DOE25'!J334</f>
        <v>6825.48</v>
      </c>
      <c r="G31" s="53">
        <f>'DOE25'!K289+'DOE25'!K308+'DOE25'!K327+'DOE25'!K332+'DOE25'!K333+'DOE25'!K334</f>
        <v>1856.09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2146958.91</v>
      </c>
      <c r="E33" s="247">
        <f>SUM(E5:E31)</f>
        <v>127248</v>
      </c>
      <c r="F33" s="247">
        <f>SUM(F5:F31)</f>
        <v>16807.879999999997</v>
      </c>
      <c r="G33" s="247">
        <f>SUM(G5:G31)</f>
        <v>9301.7800000000007</v>
      </c>
      <c r="H33" s="247">
        <f>SUM(H5:H31)</f>
        <v>90211</v>
      </c>
    </row>
    <row r="35" spans="2:8" ht="12" thickBot="1" x14ac:dyDescent="0.25">
      <c r="B35" s="254" t="s">
        <v>847</v>
      </c>
      <c r="D35" s="255">
        <f>E33</f>
        <v>127248</v>
      </c>
      <c r="E35" s="250"/>
    </row>
    <row r="36" spans="2:8" ht="12" thickTop="1" x14ac:dyDescent="0.2">
      <c r="B36" t="s">
        <v>815</v>
      </c>
      <c r="D36" s="20">
        <f>D33</f>
        <v>2146958.91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4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311792.89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147740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36220.79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9556</v>
      </c>
      <c r="E12" s="95">
        <f>'DOE25'!H13</f>
        <v>44044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348013.68</v>
      </c>
      <c r="D18" s="41">
        <f>SUM(D8:D17)</f>
        <v>9556</v>
      </c>
      <c r="E18" s="41">
        <f>SUM(E8:E17)</f>
        <v>44044</v>
      </c>
      <c r="F18" s="41">
        <f>SUM(F8:F17)</f>
        <v>0</v>
      </c>
      <c r="G18" s="41">
        <f>SUM(G8:G17)</f>
        <v>147740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43844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10400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200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4795.0200000000004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15195.02</v>
      </c>
      <c r="D31" s="41">
        <f>SUM(D21:D30)</f>
        <v>0</v>
      </c>
      <c r="E31" s="41">
        <f>SUM(E21:E30)</f>
        <v>44044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'DOE25'!G47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20000</v>
      </c>
      <c r="D46" s="95" t="e">
        <f>'DOE25'!#REF!</f>
        <v>#REF!</v>
      </c>
      <c r="E46" s="95">
        <f>'DOE25'!H47</f>
        <v>0</v>
      </c>
      <c r="F46" s="95">
        <f>'DOE25'!I47</f>
        <v>0</v>
      </c>
      <c r="G46" s="95">
        <f>'DOE25'!J47</f>
        <v>147740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41446.86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271371.79999999993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332818.65999999992</v>
      </c>
      <c r="D49" s="41" t="e">
        <f>SUM(D34:D48)</f>
        <v>#REF!</v>
      </c>
      <c r="E49" s="41">
        <f>SUM(E34:E48)</f>
        <v>0</v>
      </c>
      <c r="F49" s="41">
        <f>SUM(F34:F48)</f>
        <v>0</v>
      </c>
      <c r="G49" s="41">
        <f>SUM(G34:G48)</f>
        <v>147740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348013.67999999993</v>
      </c>
      <c r="D50" s="41" t="e">
        <f>D49+D31</f>
        <v>#REF!</v>
      </c>
      <c r="E50" s="41">
        <f>E49+E31</f>
        <v>44044</v>
      </c>
      <c r="F50" s="41">
        <f>F49+F31</f>
        <v>0</v>
      </c>
      <c r="G50" s="41">
        <f>G49+G31</f>
        <v>147740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1611699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8010.22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2030.71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2030.71</v>
      </c>
      <c r="D61" s="130">
        <f>SUM(D56:D60)</f>
        <v>8010.22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1613729.71</v>
      </c>
      <c r="D62" s="22">
        <f>D55+D61</f>
        <v>8010.22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94374.23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554768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81.77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649224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19921.46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20345.189999999999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301.27999999999997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40266.649999999994</v>
      </c>
      <c r="D77" s="130">
        <f>SUM(D71:D76)</f>
        <v>301.27999999999997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689490.65</v>
      </c>
      <c r="D80" s="130">
        <f>SUM(D78:D79)+D77+D69</f>
        <v>301.27999999999997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5446.91</v>
      </c>
      <c r="D87" s="95">
        <f>SUM('DOE25'!G152:G160)</f>
        <v>10170.959999999999</v>
      </c>
      <c r="E87" s="95">
        <f>SUM('DOE25'!H152:H160)</f>
        <v>71130.77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5446.91</v>
      </c>
      <c r="D90" s="131">
        <f>SUM(D84:D89)</f>
        <v>10170.959999999999</v>
      </c>
      <c r="E90" s="131">
        <f>SUM(E84:E89)</f>
        <v>71130.77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9000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9000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 x14ac:dyDescent="0.25">
      <c r="A103" s="33" t="s">
        <v>765</v>
      </c>
      <c r="C103" s="86">
        <f>C62+C80+C90+C102</f>
        <v>2308667.27</v>
      </c>
      <c r="D103" s="86">
        <f>D62+D80+D90+D102</f>
        <v>27482.46</v>
      </c>
      <c r="E103" s="86">
        <f>E62+E80+E90+E102</f>
        <v>71130.77</v>
      </c>
      <c r="F103" s="86">
        <f>F62+F80+F90+F102</f>
        <v>0</v>
      </c>
      <c r="G103" s="86">
        <f>G62+G80+G102</f>
        <v>20000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1555050.2</v>
      </c>
      <c r="D108" s="24" t="s">
        <v>289</v>
      </c>
      <c r="E108" s="95">
        <f>('DOE25'!L275)+('DOE25'!L294)+('DOE25'!L313)</f>
        <v>71130.76999999999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94055.339999999982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1649105.54</v>
      </c>
      <c r="D114" s="86">
        <f>SUM(D108:D113)</f>
        <v>0</v>
      </c>
      <c r="E114" s="86">
        <f>SUM(E108:E113)</f>
        <v>71130.76999999999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73212.760000000009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5193.38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164356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54979.68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144175.97999999998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112551.88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28215.46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554469.67999999993</v>
      </c>
      <c r="D127" s="86">
        <f>SUM(D117:D126)</f>
        <v>28215.46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15211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9000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119211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2322786.2199999997</v>
      </c>
      <c r="D144" s="86">
        <f>(D114+D127+D143)</f>
        <v>28215.46</v>
      </c>
      <c r="E144" s="86">
        <f>(E114+E127+E143)</f>
        <v>71130.76999999999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7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1105012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75000</v>
      </c>
    </row>
    <row r="158" spans="1:9" x14ac:dyDescent="0.2">
      <c r="A158" s="22" t="s">
        <v>35</v>
      </c>
      <c r="B158" s="137">
        <f>'DOE25'!F497</f>
        <v>355000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36</v>
      </c>
      <c r="B159" s="137">
        <f>'DOE25'!F498</f>
        <v>41370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41370</v>
      </c>
    </row>
    <row r="160" spans="1:9" x14ac:dyDescent="0.2">
      <c r="A160" s="22" t="s">
        <v>37</v>
      </c>
      <c r="B160" s="137">
        <f>'DOE25'!F499</f>
        <v>396370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396370</v>
      </c>
    </row>
    <row r="161" spans="1:7" x14ac:dyDescent="0.2">
      <c r="A161" s="22" t="s">
        <v>38</v>
      </c>
      <c r="B161" s="137">
        <f>'DOE25'!F500</f>
        <v>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75000</v>
      </c>
    </row>
    <row r="162" spans="1:7" x14ac:dyDescent="0.2">
      <c r="A162" s="22" t="s">
        <v>39</v>
      </c>
      <c r="B162" s="137">
        <f>'DOE25'!F501</f>
        <v>14830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14830</v>
      </c>
    </row>
    <row r="163" spans="1:7" x14ac:dyDescent="0.2">
      <c r="A163" s="22" t="s">
        <v>246</v>
      </c>
      <c r="B163" s="137">
        <f>'DOE25'!F502</f>
        <v>89830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89830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WASHINGTON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16130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16130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1626181</v>
      </c>
      <c r="D10" s="182">
        <f>ROUND((C10/$C$28)*100,1)</f>
        <v>70.400000000000006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94055</v>
      </c>
      <c r="D11" s="182">
        <f>ROUND((C11/$C$28)*100,1)</f>
        <v>4.0999999999999996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73213</v>
      </c>
      <c r="D15" s="182">
        <f t="shared" ref="D15:D27" si="0">ROUND((C15/$C$28)*100,1)</f>
        <v>3.2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5193</v>
      </c>
      <c r="D16" s="182">
        <f t="shared" si="0"/>
        <v>0.2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164356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54980</v>
      </c>
      <c r="D18" s="182">
        <f t="shared" si="0"/>
        <v>2.4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144176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112552</v>
      </c>
      <c r="D21" s="182">
        <f t="shared" si="0"/>
        <v>4.9000000000000004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15211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20204.78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2310121.7799999998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2310121.7799999998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1611699</v>
      </c>
      <c r="D35" s="182">
        <f t="shared" ref="D35:D40" si="1">ROUND((C35/$C$41)*100,1)</f>
        <v>67.400000000000006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2030.7099999999627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649224</v>
      </c>
      <c r="D37" s="182">
        <f t="shared" si="1"/>
        <v>27.2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40568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86749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2390270.71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WASHINGTON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2012-09-20T18:38:13Z</cp:lastPrinted>
  <dcterms:created xsi:type="dcterms:W3CDTF">1997-12-04T19:04:30Z</dcterms:created>
  <dcterms:modified xsi:type="dcterms:W3CDTF">2012-11-21T16:27:02Z</dcterms:modified>
</cp:coreProperties>
</file>