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1" i="10"/>
  <c r="C12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C110" i="2"/>
  <c r="E110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C121" i="2"/>
  <c r="E121" i="2"/>
  <c r="C122" i="2"/>
  <c r="E122" i="2"/>
  <c r="C123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F433" i="1" s="1"/>
  <c r="G432" i="1"/>
  <c r="H432" i="1"/>
  <c r="I432" i="1"/>
  <c r="J432" i="1"/>
  <c r="J433" i="1" s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J618" i="1" s="1"/>
  <c r="G619" i="1"/>
  <c r="J619" i="1" s="1"/>
  <c r="G622" i="1"/>
  <c r="G623" i="1"/>
  <c r="G624" i="1"/>
  <c r="H626" i="1"/>
  <c r="H627" i="1"/>
  <c r="H628" i="1"/>
  <c r="H629" i="1"/>
  <c r="H630" i="1"/>
  <c r="H631" i="1"/>
  <c r="H632" i="1"/>
  <c r="G634" i="1"/>
  <c r="H634" i="1"/>
  <c r="H635" i="1"/>
  <c r="H636" i="1"/>
  <c r="H637" i="1"/>
  <c r="G638" i="1"/>
  <c r="H638" i="1"/>
  <c r="G639" i="1"/>
  <c r="H639" i="1"/>
  <c r="G640" i="1"/>
  <c r="H640" i="1"/>
  <c r="G641" i="1"/>
  <c r="J641" i="1" s="1"/>
  <c r="H641" i="1"/>
  <c r="G642" i="1"/>
  <c r="H642" i="1"/>
  <c r="G643" i="1"/>
  <c r="H643" i="1"/>
  <c r="G644" i="1"/>
  <c r="H644" i="1"/>
  <c r="H646" i="1"/>
  <c r="G648" i="1"/>
  <c r="G649" i="1"/>
  <c r="H649" i="1"/>
  <c r="G650" i="1"/>
  <c r="G651" i="1"/>
  <c r="H651" i="1"/>
  <c r="G652" i="1"/>
  <c r="H652" i="1"/>
  <c r="J652" i="1" s="1"/>
  <c r="G653" i="1"/>
  <c r="H653" i="1"/>
  <c r="J653" i="1" s="1"/>
  <c r="H654" i="1"/>
  <c r="F191" i="1"/>
  <c r="L255" i="1"/>
  <c r="C26" i="10"/>
  <c r="L327" i="1"/>
  <c r="L350" i="1"/>
  <c r="I661" i="1"/>
  <c r="L289" i="1"/>
  <c r="A31" i="12"/>
  <c r="D12" i="13"/>
  <c r="C12" i="13" s="1"/>
  <c r="G8" i="2"/>
  <c r="E49" i="2"/>
  <c r="D18" i="13"/>
  <c r="C18" i="13" s="1"/>
  <c r="D15" i="13"/>
  <c r="C15" i="13" s="1"/>
  <c r="D7" i="13"/>
  <c r="C7" i="13" s="1"/>
  <c r="D18" i="2"/>
  <c r="D17" i="13"/>
  <c r="C17" i="13" s="1"/>
  <c r="E8" i="13"/>
  <c r="C8" i="13" s="1"/>
  <c r="F77" i="2"/>
  <c r="F80" i="2" s="1"/>
  <c r="C77" i="2"/>
  <c r="D49" i="2"/>
  <c r="F49" i="2"/>
  <c r="F18" i="2"/>
  <c r="E102" i="2"/>
  <c r="F90" i="2"/>
  <c r="E61" i="2"/>
  <c r="E62" i="2" s="1"/>
  <c r="C61" i="2"/>
  <c r="G61" i="2"/>
  <c r="D29" i="13"/>
  <c r="C29" i="13" s="1"/>
  <c r="D19" i="13"/>
  <c r="C19" i="13" s="1"/>
  <c r="D14" i="13"/>
  <c r="C14" i="13" s="1"/>
  <c r="E13" i="13"/>
  <c r="C13" i="13" s="1"/>
  <c r="F544" i="1" l="1"/>
  <c r="I433" i="1"/>
  <c r="G433" i="1"/>
  <c r="F256" i="1"/>
  <c r="F270" i="1" s="1"/>
  <c r="I191" i="1"/>
  <c r="K433" i="1"/>
  <c r="G133" i="2" s="1"/>
  <c r="G143" i="2" s="1"/>
  <c r="F102" i="2"/>
  <c r="D61" i="2"/>
  <c r="D62" i="2" s="1"/>
  <c r="E31" i="2"/>
  <c r="F31" i="2"/>
  <c r="E143" i="2"/>
  <c r="E109" i="2"/>
  <c r="F660" i="1"/>
  <c r="C18" i="10"/>
  <c r="C15" i="10"/>
  <c r="L246" i="1"/>
  <c r="C17" i="10"/>
  <c r="J651" i="1"/>
  <c r="J649" i="1"/>
  <c r="G570" i="1"/>
  <c r="K256" i="1"/>
  <c r="K270" i="1" s="1"/>
  <c r="I256" i="1"/>
  <c r="I270" i="1" s="1"/>
  <c r="G256" i="1"/>
  <c r="G270" i="1" s="1"/>
  <c r="G159" i="2"/>
  <c r="G157" i="2"/>
  <c r="G156" i="2"/>
  <c r="G155" i="2"/>
  <c r="G102" i="2"/>
  <c r="D102" i="2"/>
  <c r="C102" i="2"/>
  <c r="C90" i="2"/>
  <c r="G80" i="2"/>
  <c r="C69" i="2"/>
  <c r="F61" i="2"/>
  <c r="F62" i="2" s="1"/>
  <c r="D31" i="2"/>
  <c r="C19" i="10"/>
  <c r="E108" i="2"/>
  <c r="C16" i="10"/>
  <c r="C13" i="10"/>
  <c r="I368" i="1"/>
  <c r="H633" i="1" s="1"/>
  <c r="J633" i="1" s="1"/>
  <c r="I662" i="1"/>
  <c r="L533" i="1"/>
  <c r="L528" i="1"/>
  <c r="K502" i="1"/>
  <c r="G162" i="2"/>
  <c r="G163" i="2"/>
  <c r="G161" i="2"/>
  <c r="G158" i="2"/>
  <c r="G160" i="2"/>
  <c r="K499" i="1"/>
  <c r="J634" i="1"/>
  <c r="D126" i="2"/>
  <c r="D127" i="2" s="1"/>
  <c r="E114" i="2"/>
  <c r="H659" i="1"/>
  <c r="H663" i="1" s="1"/>
  <c r="H671" i="1" s="1"/>
  <c r="C10" i="10"/>
  <c r="J648" i="1"/>
  <c r="C120" i="2"/>
  <c r="C119" i="2"/>
  <c r="C118" i="2"/>
  <c r="C117" i="2"/>
  <c r="D6" i="13"/>
  <c r="C6" i="13" s="1"/>
  <c r="C111" i="2"/>
  <c r="C108" i="2"/>
  <c r="L210" i="1"/>
  <c r="L256" i="1" s="1"/>
  <c r="L270" i="1" s="1"/>
  <c r="G631" i="1" s="1"/>
  <c r="J631" i="1" s="1"/>
  <c r="D90" i="2"/>
  <c r="C62" i="2"/>
  <c r="F51" i="1"/>
  <c r="H616" i="1" s="1"/>
  <c r="J616" i="1" s="1"/>
  <c r="C31" i="2"/>
  <c r="E18" i="2"/>
  <c r="C18" i="2"/>
  <c r="G621" i="1"/>
  <c r="G33" i="13"/>
  <c r="D50" i="2"/>
  <c r="G144" i="2"/>
  <c r="F50" i="2"/>
  <c r="A22" i="12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D103" i="2" s="1"/>
  <c r="I168" i="1"/>
  <c r="H168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E103" i="2"/>
  <c r="J650" i="1"/>
  <c r="J639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L544" i="1"/>
  <c r="H544" i="1"/>
  <c r="K550" i="1"/>
  <c r="F143" i="2"/>
  <c r="F144" i="2" s="1"/>
  <c r="J647" i="1" l="1"/>
  <c r="K551" i="1"/>
  <c r="H666" i="1"/>
  <c r="C28" i="10"/>
  <c r="D25" i="10" s="1"/>
  <c r="C127" i="2"/>
  <c r="C114" i="2"/>
  <c r="F659" i="1"/>
  <c r="F663" i="1" s="1"/>
  <c r="F671" i="1" s="1"/>
  <c r="C4" i="10" s="1"/>
  <c r="C39" i="10"/>
  <c r="H192" i="1"/>
  <c r="G628" i="1" s="1"/>
  <c r="J628" i="1" s="1"/>
  <c r="C103" i="2"/>
  <c r="C36" i="10"/>
  <c r="F192" i="1"/>
  <c r="G626" i="1" s="1"/>
  <c r="J626" i="1" s="1"/>
  <c r="C50" i="2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 l="1"/>
  <c r="D39" i="10" s="1"/>
  <c r="D18" i="10"/>
  <c r="D21" i="10"/>
  <c r="D10" i="10"/>
  <c r="D16" i="10"/>
  <c r="D15" i="10"/>
  <c r="D27" i="10"/>
  <c r="D13" i="10"/>
  <c r="D17" i="10"/>
  <c r="D24" i="10"/>
  <c r="D20" i="10"/>
  <c r="D26" i="10"/>
  <c r="D11" i="10"/>
  <c r="C30" i="10"/>
  <c r="D12" i="10"/>
  <c r="D19" i="10"/>
  <c r="D22" i="10"/>
  <c r="D23" i="10"/>
  <c r="F666" i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8" i="10" l="1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<sst xmlns="http://schemas.openxmlformats.org/spreadsheetml/2006/main" count="3947" uniqueCount="914">
  <si>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</si>
  <si>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</si>
  <si>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</si>
  <si>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</si>
  <si>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</si>
  <si>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</si>
  <si>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</si>
  <si>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</si>
  <si>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</si>
  <si>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</si>
  <si>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</si>
  <si>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</si>
  <si>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</si>
  <si>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</si>
  <si>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</si>
  <si>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</si>
  <si>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</si>
  <si>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</si>
  <si>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</si>
  <si>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</si>
  <si>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</si>
  <si>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</si>
  <si>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</si>
  <si>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</si>
  <si>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</si>
  <si>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</si>
  <si>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</si>
  <si>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</si>
  <si>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</si>
  <si>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</si>
  <si>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</si>
  <si>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</si>
  <si>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</si>
  <si>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</si>
  <si>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</si>
  <si>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</si>
  <si>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</si>
  <si>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</si>
  <si>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</si>
  <si>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</si>
  <si>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</si>
  <si>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</si>
  <si>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</si>
  <si>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</si>
  <si>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</si>
  <si>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</si>
  <si>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</si>
  <si>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</si>
  <si>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</si>
  <si>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</si>
  <si>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</si>
  <si>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</si>
  <si>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</si>
  <si>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</si>
  <si>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</si>
  <si>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</si>
  <si>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</si>
  <si>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</si>
  <si>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</si>
  <si>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</si>
  <si>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</si>
  <si>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</si>
  <si>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</si>
  <si>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</si>
  <si>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</si>
  <si>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</si>
  <si>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</si>
  <si>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</si>
  <si>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</si>
  <si>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</si>
  <si>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</si>
  <si>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</si>
  <si>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</si>
  <si>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</si>
  <si>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</si>
  <si>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</si>
  <si>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</si>
  <si>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</si>
  <si>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</si>
  <si>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</si>
  <si>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</si>
  <si>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</si>
  <si>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</si>
  <si>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</si>
  <si>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</si>
  <si>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</si>
  <si>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</si>
  <si>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</si>
  <si>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</si>
  <si>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</si>
  <si>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</si>
  <si>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</si>
  <si>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</si>
  <si>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</si>
  <si>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</si>
  <si>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</si>
  <si>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</si>
  <si>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</si>
  <si>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</si>
  <si>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</si>
  <si>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</si>
  <si>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</si>
  <si>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</si>
  <si>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</si>
  <si>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</si>
  <si>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</si>
  <si>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</si>
  <si>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</si>
  <si>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</si>
  <si>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</si>
  <si>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</si>
  <si>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</si>
  <si>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</si>
  <si>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</si>
  <si>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</si>
  <si>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</si>
  <si>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</si>
  <si>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</si>
  <si>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</si>
  <si>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</si>
  <si>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</si>
  <si>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</si>
  <si>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</si>
  <si>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</si>
  <si>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</si>
  <si>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</si>
  <si>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</si>
  <si>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</si>
  <si>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</si>
  <si>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</si>
  <si>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</si>
  <si>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</si>
  <si>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</si>
  <si>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</si>
  <si>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</si>
  <si>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</si>
  <si>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</si>
  <si>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</si>
  <si>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</si>
  <si>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</si>
  <si>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</si>
  <si>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</si>
  <si>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</si>
  <si>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</si>
  <si>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</si>
  <si>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</si>
  <si>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</si>
  <si>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</si>
  <si>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</si>
  <si>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</si>
  <si>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</si>
  <si>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</si>
  <si>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</si>
  <si>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</si>
  <si>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</si>
  <si>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</si>
  <si>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</si>
  <si>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</si>
  <si>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</si>
  <si>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</si>
  <si>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</si>
  <si>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</si>
  <si>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</si>
  <si>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</si>
  <si>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</si>
  <si>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</si>
  <si>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</si>
  <si>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</si>
  <si>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</si>
  <si>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</si>
  <si>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</si>
  <si>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</si>
  <si>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</si>
  <si>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</si>
  <si>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</si>
  <si>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</si>
  <si>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</si>
  <si>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</si>
  <si>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</si>
  <si>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</si>
  <si>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</si>
  <si>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</si>
  <si>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</si>
  <si>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</si>
  <si>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</si>
  <si>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</si>
  <si>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</si>
  <si>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</si>
  <si>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</si>
  <si>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</si>
  <si>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</si>
  <si>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</si>
  <si>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</si>
  <si>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</si>
  <si>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</si>
  <si>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</si>
  <si>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</si>
  <si>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</si>
  <si>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</si>
  <si>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</si>
  <si>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</si>
  <si>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</si>
  <si>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</si>
  <si>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</si>
  <si>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</si>
  <si>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</si>
  <si>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</si>
  <si>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</si>
  <si>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</si>
  <si>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</si>
  <si>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</si>
  <si>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</si>
  <si>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</si>
  <si>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</si>
  <si>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</si>
  <si>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</si>
  <si>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</si>
  <si>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</si>
  <si>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</si>
  <si>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</si>
  <si>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</si>
  <si>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</si>
  <si>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</si>
  <si>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</si>
  <si>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</si>
  <si>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</si>
  <si>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</si>
  <si>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</si>
  <si>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</si>
  <si>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</si>
  <si>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</si>
  <si>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</si>
  <si>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</si>
  <si>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</si>
  <si>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</si>
  <si>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</si>
  <si>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</si>
  <si>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</si>
  <si>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</si>
  <si>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</si>
  <si>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</si>
  <si>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</si>
  <si>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</si>
  <si>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</si>
  <si>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</si>
  <si>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</si>
  <si>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</si>
  <si>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</si>
  <si>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</si>
  <si>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</si>
  <si>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</si>
  <si>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</si>
  <si>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</si>
  <si>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</si>
  <si>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</si>
  <si>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</si>
  <si>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</si>
  <si>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</si>
  <si>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</si>
  <si>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</si>
  <si>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</si>
  <si>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</si>
  <si>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</si>
  <si>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</si>
  <si>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</si>
  <si>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</si>
  <si>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</si>
  <si>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</si>
  <si>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</si>
  <si>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</si>
  <si>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</si>
  <si>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</si>
  <si>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</si>
  <si>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</si>
  <si>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</si>
  <si>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</si>
  <si>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</si>
  <si>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</si>
  <si>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</si>
  <si>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</si>
  <si>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</si>
  <si>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</si>
  <si>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</si>
  <si>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</si>
  <si>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</si>
  <si>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</si>
  <si>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</si>
  <si>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</si>
  <si>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</si>
  <si>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</si>
  <si>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</si>
  <si>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</si>
  <si>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</si>
  <si>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</si>
  <si>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</si>
  <si>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</si>
  <si>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</si>
  <si>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</si>
  <si>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</si>
  <si>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</si>
  <si>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</si>
  <si>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</si>
  <si>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</si>
  <si>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</si>
  <si>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</si>
  <si>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</si>
  <si>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</si>
  <si>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</si>
  <si>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</si>
  <si>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</si>
  <si>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</si>
  <si>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</si>
  <si>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</si>
  <si>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</si>
  <si>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</si>
  <si>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</si>
  <si>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</si>
  <si>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</si>
  <si>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</si>
  <si>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</si>
  <si>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</si>
  <si>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</si>
  <si>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</si>
  <si>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</si>
  <si>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</si>
  <si>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</si>
  <si>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</si>
  <si>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</si>
  <si>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</si>
  <si>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</si>
  <si>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</si>
  <si>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</si>
  <si>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</si>
  <si>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</si>
  <si>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</si>
  <si>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</si>
  <si>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</si>
  <si>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</si>
  <si>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</si>
  <si>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</si>
  <si>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</si>
  <si>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</si>
  <si>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</si>
  <si>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</si>
  <si>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</si>
  <si>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</si>
  <si>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</si>
  <si>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</si>
  <si>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</si>
  <si>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</si>
  <si>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</si>
  <si>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</si>
  <si>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</si>
  <si>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</si>
  <si>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</si>
  <si>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</si>
  <si>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</si>
  <si>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</si>
  <si>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</si>
  <si>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</si>
  <si>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</si>
  <si>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</si>
  <si>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</si>
  <si>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</si>
  <si>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</si>
  <si>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</si>
  <si>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</si>
  <si>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</si>
  <si>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</si>
  <si>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</si>
  <si>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</si>
  <si>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</si>
  <si>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</si>
  <si>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</si>
  <si>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</si>
  <si>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</si>
  <si>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</si>
  <si>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</si>
  <si>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</si>
  <si>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</si>
  <si>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</si>
  <si>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</si>
  <si>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</si>
  <si>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</si>
  <si>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</si>
  <si>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</si>
  <si>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</si>
  <si>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</si>
  <si>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</si>
  <si>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</si>
  <si>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</si>
  <si>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</si>
  <si>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</si>
  <si>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</si>
  <si>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</si>
  <si>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</si>
  <si>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</si>
  <si>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</si>
  <si>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</si>
  <si>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</si>
  <si>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</si>
  <si>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</si>
  <si>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</si>
  <si>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</si>
  <si>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</si>
  <si>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</si>
  <si>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</si>
  <si>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</si>
  <si>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</si>
  <si>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</si>
  <si>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</si>
  <si>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</si>
  <si>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</si>
  <si>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</si>
  <si>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</si>
  <si>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</si>
  <si>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</si>
  <si>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</si>
  <si>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</si>
  <si>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</si>
  <si>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</si>
  <si>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</si>
  <si>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</si>
  <si>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</si>
  <si>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</si>
  <si>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</si>
  <si>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</si>
  <si>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</si>
  <si>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</si>
  <si>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</si>
  <si>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</si>
  <si>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</si>
  <si>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</si>
  <si>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</si>
  <si>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</si>
  <si>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</si>
  <si>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</si>
  <si>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</si>
  <si>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</si>
  <si>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</si>
  <si>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</si>
  <si>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</si>
  <si>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</si>
  <si>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</si>
  <si>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</si>
  <si>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</si>
  <si>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</si>
  <si>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</si>
  <si>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</si>
  <si>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</si>
  <si>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</si>
  <si>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</si>
  <si>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</si>
  <si>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</si>
  <si>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</si>
  <si>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</si>
  <si>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</si>
  <si>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</si>
  <si>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</si>
  <si>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</si>
  <si>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</si>
  <si>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</si>
  <si>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</si>
  <si>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</si>
  <si>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</si>
  <si>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</si>
  <si>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</si>
  <si>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</si>
  <si>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</si>
  <si>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</si>
  <si>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</si>
  <si>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</si>
  <si>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</si>
  <si>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</si>
  <si>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</si>
  <si>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</si>
  <si>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</si>
  <si>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</si>
  <si>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</si>
  <si>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</si>
  <si>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</si>
  <si>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</si>
  <si>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</si>
  <si>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</si>
  <si>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</si>
  <si>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</si>
  <si>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</si>
  <si>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</si>
  <si>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</si>
  <si>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</si>
  <si>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</si>
  <si>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</si>
  <si>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</si>
  <si>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</si>
  <si>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</si>
  <si>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</si>
  <si>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</si>
  <si>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</si>
  <si>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</si>
  <si>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</si>
  <si>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</si>
  <si>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</si>
  <si>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</si>
  <si>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</si>
  <si>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</si>
  <si>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</si>
  <si>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</si>
  <si>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</si>
  <si>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</si>
  <si>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</si>
  <si>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</si>
  <si>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</si>
  <si>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</si>
  <si>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</si>
  <si>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</si>
  <si>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</si>
  <si>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</si>
  <si>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</si>
  <si>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</si>
  <si>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</si>
  <si>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</si>
  <si>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</si>
  <si>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</si>
  <si>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</si>
  <si>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</si>
  <si>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</si>
  <si>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</si>
  <si>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</si>
  <si>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</si>
  <si>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</si>
  <si>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</si>
  <si>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</si>
  <si>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</si>
  <si>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</si>
  <si>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</si>
  <si>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</si>
  <si>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</si>
  <si>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</si>
  <si>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</si>
  <si>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</si>
  <si>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</si>
  <si>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</si>
  <si>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</si>
  <si>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</si>
  <si>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</si>
  <si>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</si>
  <si>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</si>
  <si>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</si>
  <si>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</si>
  <si>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</si>
  <si>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</si>
  <si>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</si>
  <si>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</si>
  <si>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</si>
  <si>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</si>
  <si>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</si>
  <si>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</si>
  <si>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</si>
  <si>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</si>
  <si>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</si>
  <si>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</si>
  <si>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</si>
  <si>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</si>
  <si>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</si>
  <si>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</si>
  <si>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</si>
  <si>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</si>
  <si>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</si>
  <si>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</si>
  <si>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</si>
  <si>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</si>
  <si>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</si>
  <si>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</si>
  <si>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</si>
  <si>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</si>
  <si>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</si>
  <si>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</si>
  <si>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</si>
  <si>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</si>
  <si>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</si>
  <si>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</si>
  <si>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</si>
  <si>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</si>
  <si>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</si>
  <si>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</si>
  <si>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</si>
  <si>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</si>
  <si>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</si>
  <si>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</si>
  <si>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</si>
  <si>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</si>
  <si>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</si>
  <si>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</si>
  <si>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</si>
  <si>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</si>
  <si>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</si>
  <si>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</si>
  <si>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</si>
  <si>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</si>
  <si>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</si>
  <si>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</si>
  <si>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</si>
  <si>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</si>
  <si>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</si>
  <si>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</si>
  <si>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</si>
  <si>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</si>
  <si>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</si>
  <si>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</si>
  <si>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</si>
  <si>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</si>
  <si>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</si>
  <si>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</si>
  <si>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</si>
  <si>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</si>
  <si>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</si>
  <si>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</si>
  <si>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</si>
  <si>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</si>
  <si>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</si>
  <si>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</si>
  <si>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</si>
  <si>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</si>
  <si>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</si>
  <si>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</si>
  <si>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</si>
  <si>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</si>
  <si>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</si>
  <si>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</si>
  <si>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</si>
  <si>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</si>
  <si>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</si>
  <si>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</si>
  <si>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</si>
  <si>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</si>
  <si>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</si>
  <si>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</si>
  <si>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</si>
  <si>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</si>
  <si>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</si>
  <si>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</si>
  <si>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</si>
  <si>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</si>
  <si>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</si>
  <si>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</si>
  <si>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</si>
  <si>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</si>
  <si>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</si>
  <si>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</si>
  <si>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</si>
  <si>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</si>
  <si>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</si>
  <si>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</si>
  <si>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</si>
  <si>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</si>
  <si>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</si>
  <si>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</si>
  <si>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</si>
  <si>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</si>
  <si>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</si>
  <si>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</si>
  <si>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</si>
  <si>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</si>
  <si>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</si>
  <si>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</si>
  <si>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</si>
  <si>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</si>
  <si>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</si>
  <si>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</si>
  <si>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</si>
  <si>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</si>
  <si>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</si>
  <si>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</si>
  <si>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</si>
  <si>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</si>
  <si>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</si>
  <si>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</si>
  <si>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</si>
  <si>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</si>
  <si>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</si>
  <si>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</si>
  <si>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</si>
  <si>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</si>
  <si>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</si>
  <si>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</si>
  <si>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</si>
  <si>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</si>
  <si>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</si>
  <si>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</si>
  <si>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</si>
  <si>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</si>
  <si>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</si>
  <si>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</si>
  <si>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</si>
  <si>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</si>
  <si>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</si>
  <si>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</si>
  <si>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</si>
  <si>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</si>
  <si>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</si>
  <si>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</si>
  <si>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</si>
  <si>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</si>
  <si>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</si>
  <si>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</si>
  <si>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</si>
  <si>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</si>
  <si>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</si>
  <si>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</si>
  <si>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</si>
  <si>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</si>
  <si>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</si>
  <si>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</si>
  <si>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</si>
  <si>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</si>
  <si>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</si>
  <si>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</si>
  <si>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</si>
  <si>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</si>
  <si>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</si>
  <si>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</si>
  <si>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</si>
  <si>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</si>
  <si>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</si>
  <si>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</si>
  <si>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</si>
  <si>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</si>
  <si>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</si>
  <si>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</si>
  <si>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</si>
  <si>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</si>
  <si>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</si>
  <si>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</si>
  <si>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</si>
  <si>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</si>
  <si>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</si>
  <si>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</si>
  <si>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</si>
  <si>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</si>
  <si>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</si>
  <si>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</si>
  <si>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</si>
  <si>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</si>
  <si>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</si>
  <si>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</si>
  <si>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</si>
  <si>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</si>
  <si>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</si>
  <si>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</si>
  <si>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</si>
  <si>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</si>
  <si>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</si>
  <si>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</si>
  <si>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</si>
  <si>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</si>
  <si>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</si>
  <si>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</si>
  <si>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</si>
  <si>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</si>
  <si>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</si>
  <si>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</si>
  <si>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</si>
  <si>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</si>
  <si>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</si>
  <si>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</si>
  <si>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</si>
  <si>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</si>
  <si>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</si>
  <si>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</si>
  <si>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</si>
  <si>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</si>
  <si>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</si>
  <si>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</si>
  <si>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</si>
  <si>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</si>
  <si>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</si>
  <si>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</si>
  <si>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</si>
  <si>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</si>
  <si>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</si>
  <si>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</si>
  <si>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</si>
  <si>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</si>
  <si>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</si>
  <si>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</si>
  <si>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</si>
  <si>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</si>
  <si>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</si>
  <si>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</si>
  <si>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</si>
  <si>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</si>
  <si>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</si>
  <si>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</si>
  <si>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</si>
  <si>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</si>
  <si>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</si>
  <si>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</si>
  <si>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</si>
  <si>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</si>
  <si>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</si>
  <si>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</si>
  <si>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</si>
  <si>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</si>
  <si>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</si>
  <si>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</si>
  <si>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</si>
  <si>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</si>
  <si>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</si>
  <si>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</si>
  <si>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</si>
  <si>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</si>
  <si>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</si>
  <si>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</si>
  <si>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</si>
  <si>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</si>
  <si>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</si>
  <si>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</si>
  <si>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</si>
  <si>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</si>
  <si>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</si>
  <si>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</si>
  <si>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</si>
  <si>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</si>
  <si>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</si>
  <si>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</si>
  <si>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</si>
  <si>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</si>
  <si>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</si>
  <si>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</si>
  <si>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</si>
  <si>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</si>
  <si>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</si>
  <si>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</si>
  <si>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</si>
  <si>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</si>
  <si>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</si>
  <si>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</si>
  <si>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</si>
  <si>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</si>
  <si>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</si>
  <si>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</si>
  <si>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</si>
  <si>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</si>
  <si>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</si>
  <si>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</si>
  <si>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</si>
  <si>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</si>
  <si>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</si>
  <si>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</si>
  <si>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</si>
  <si>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</si>
  <si>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</si>
  <si>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</si>
  <si>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</si>
  <si>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</si>
  <si>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</si>
  <si>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</si>
  <si>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</si>
  <si>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</si>
  <si>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</si>
  <si>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</si>
  <si>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</si>
  <si>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</si>
  <si>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</si>
  <si>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</si>
  <si>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</si>
  <si>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</si>
  <si>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</si>
  <si>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</si>
  <si>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</si>
  <si>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</si>
  <si>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</si>
  <si>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</si>
  <si>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</si>
  <si>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</si>
  <si>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</si>
  <si>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</si>
  <si>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</si>
  <si>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</si>
  <si>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</si>
  <si>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</si>
  <si>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</si>
  <si>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</si>
  <si>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</si>
  <si>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</si>
  <si>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</si>
  <si>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</si>
  <si>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</si>
  <si>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</si>
  <si>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</si>
  <si>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</si>
  <si>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</si>
  <si>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</si>
  <si>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</si>
  <si>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</si>
  <si>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</si>
  <si>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</si>
  <si>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</si>
  <si>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</si>
  <si>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</si>
  <si>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</si>
  <si>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</si>
  <si>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</si>
  <si>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</si>
  <si>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</si>
  <si>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</si>
  <si>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</si>
  <si>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</si>
  <si>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</si>
  <si>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WATERVILLE VALLEY</t>
  </si>
  <si>
    <t>07/10</t>
  </si>
  <si>
    <t>07/05</t>
  </si>
  <si>
    <t>08/12</t>
  </si>
  <si>
    <t>08/16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</si>
</sst>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553</v>
      </c>
      <c r="C2" s="21">
        <v>553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143109.13</v>
      </c>
      <c r="G9" s="18"/>
      <c r="H9" s="18">
        <v>-26885.09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90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26885.09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139.16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143338.29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4157.0200000000004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4157.0200000000004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56083.23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83098.039999999994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139181.26999999999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143338.28999999998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69688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69688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57281.21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57281.21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22.04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1179.5999999999999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9373.7800000000007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9395.8200000000015</v>
      </c>
      <c r="G110" s="41">
        <f>SUM(G95:G109)</f>
        <v>1179.5999999999999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136365.03</v>
      </c>
      <c r="G111" s="41">
        <f>G59+G110</f>
        <v>1179.5999999999999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841263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841263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28397.4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28397.4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869660.4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v>19162.25</v>
      </c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220.04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27096.19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220.04</v>
      </c>
      <c r="H161" s="41">
        <f>SUM(H149:H160)</f>
        <v>46258.44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28934.94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28934.94</v>
      </c>
      <c r="G168" s="41">
        <f>G146+G161+SUM(G162:G167)</f>
        <v>220.04</v>
      </c>
      <c r="H168" s="41">
        <f>H146+H161+SUM(H162:H167)</f>
        <v>46258.44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545.85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545.85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545.85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1034960.37</v>
      </c>
      <c r="G192" s="47">
        <f>G111+G139+G168+G191</f>
        <v>1945.4899999999998</v>
      </c>
      <c r="H192" s="47">
        <f>H111+H139+H168+H191</f>
        <v>46258.44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223648.3</v>
      </c>
      <c r="G196" s="18">
        <v>89767.360000000001</v>
      </c>
      <c r="H196" s="18">
        <v>10112.790000000001</v>
      </c>
      <c r="I196" s="18">
        <v>5159.49</v>
      </c>
      <c r="J196" s="18">
        <v>5921.45</v>
      </c>
      <c r="K196" s="18">
        <v>282</v>
      </c>
      <c r="L196" s="19">
        <f>SUM(F196:K196)</f>
        <v>334891.38999999996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15784.37</v>
      </c>
      <c r="G197" s="18">
        <v>2940.88</v>
      </c>
      <c r="H197" s="18">
        <v>5780.76</v>
      </c>
      <c r="I197" s="18">
        <v>161.06</v>
      </c>
      <c r="J197" s="18"/>
      <c r="K197" s="18"/>
      <c r="L197" s="19">
        <f>SUM(F197:K197)</f>
        <v>24667.070000000003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4321.8599999999997</v>
      </c>
      <c r="G199" s="18">
        <v>381.55</v>
      </c>
      <c r="H199" s="18"/>
      <c r="I199" s="18">
        <v>2028.62</v>
      </c>
      <c r="J199" s="18"/>
      <c r="K199" s="18"/>
      <c r="L199" s="19">
        <f>SUM(F199:K199)</f>
        <v>6732.03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7846.46</v>
      </c>
      <c r="G201" s="18">
        <v>711.35</v>
      </c>
      <c r="H201" s="18">
        <v>17928.45</v>
      </c>
      <c r="I201" s="18">
        <v>591.07000000000005</v>
      </c>
      <c r="J201" s="18"/>
      <c r="K201" s="18">
        <v>40</v>
      </c>
      <c r="L201" s="19">
        <f t="shared" ref="L201:L207" si="0">SUM(F201:K201)</f>
        <v>27117.33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2381.0300000000002</v>
      </c>
      <c r="G202" s="18">
        <v>5539.14</v>
      </c>
      <c r="H202" s="18">
        <v>449.98</v>
      </c>
      <c r="I202" s="18">
        <v>4283.8500000000004</v>
      </c>
      <c r="J202" s="18">
        <v>5461.27</v>
      </c>
      <c r="K202" s="18"/>
      <c r="L202" s="19">
        <f t="shared" si="0"/>
        <v>18115.27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2000</v>
      </c>
      <c r="G203" s="18">
        <v>153</v>
      </c>
      <c r="H203" s="18">
        <v>86360.09</v>
      </c>
      <c r="I203" s="18">
        <v>640.04999999999995</v>
      </c>
      <c r="J203" s="18"/>
      <c r="K203" s="18">
        <v>2345.42</v>
      </c>
      <c r="L203" s="19">
        <f t="shared" si="0"/>
        <v>91498.559999999998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109684.81</v>
      </c>
      <c r="G204" s="18">
        <v>53498.2</v>
      </c>
      <c r="H204" s="18">
        <v>1706.03</v>
      </c>
      <c r="I204" s="18">
        <v>2198.89</v>
      </c>
      <c r="J204" s="18"/>
      <c r="K204" s="18">
        <v>970.26</v>
      </c>
      <c r="L204" s="19">
        <f t="shared" si="0"/>
        <v>168058.19000000003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67.150000000000006</v>
      </c>
      <c r="L205" s="19">
        <f t="shared" si="0"/>
        <v>67.150000000000006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>
        <v>81967.92</v>
      </c>
      <c r="I206" s="18">
        <v>34353.300000000003</v>
      </c>
      <c r="J206" s="18">
        <v>9691.76</v>
      </c>
      <c r="K206" s="18"/>
      <c r="L206" s="19">
        <f t="shared" si="0"/>
        <v>126012.98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10238</v>
      </c>
      <c r="I207" s="18"/>
      <c r="J207" s="18"/>
      <c r="K207" s="18"/>
      <c r="L207" s="19">
        <f t="shared" si="0"/>
        <v>10238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365666.82999999996</v>
      </c>
      <c r="G210" s="41">
        <f t="shared" si="1"/>
        <v>152991.48000000001</v>
      </c>
      <c r="H210" s="41">
        <f t="shared" si="1"/>
        <v>214544.02000000002</v>
      </c>
      <c r="I210" s="41">
        <f t="shared" si="1"/>
        <v>49416.33</v>
      </c>
      <c r="J210" s="41">
        <f t="shared" si="1"/>
        <v>21074.480000000003</v>
      </c>
      <c r="K210" s="41">
        <f t="shared" si="1"/>
        <v>3704.8300000000004</v>
      </c>
      <c r="L210" s="41">
        <f t="shared" si="1"/>
        <v>807397.97000000009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108111.98</v>
      </c>
      <c r="I232" s="18"/>
      <c r="J232" s="18"/>
      <c r="K232" s="18"/>
      <c r="L232" s="19">
        <f>SUM(F232:K232)</f>
        <v>108111.98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108111.98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108111.98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365666.82999999996</v>
      </c>
      <c r="G256" s="41">
        <f t="shared" si="8"/>
        <v>152991.48000000001</v>
      </c>
      <c r="H256" s="41">
        <f t="shared" si="8"/>
        <v>322656</v>
      </c>
      <c r="I256" s="41">
        <f t="shared" si="8"/>
        <v>49416.33</v>
      </c>
      <c r="J256" s="41">
        <f t="shared" si="8"/>
        <v>21074.480000000003</v>
      </c>
      <c r="K256" s="41">
        <f t="shared" si="8"/>
        <v>3704.8300000000004</v>
      </c>
      <c r="L256" s="41">
        <f t="shared" si="8"/>
        <v>915509.95000000007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170958</v>
      </c>
      <c r="L259" s="19">
        <f>SUM(F259:K259)</f>
        <v>170958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15163.28</v>
      </c>
      <c r="L260" s="19">
        <f>SUM(F260:K260)</f>
        <v>15163.28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545.85</v>
      </c>
      <c r="L262" s="19">
        <f>SUM(F262:K262)</f>
        <v>545.85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186667.13</v>
      </c>
      <c r="L269" s="41">
        <f t="shared" si="9"/>
        <v>186667.13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365666.82999999996</v>
      </c>
      <c r="G270" s="42">
        <f t="shared" si="11"/>
        <v>152991.48000000001</v>
      </c>
      <c r="H270" s="42">
        <f t="shared" si="11"/>
        <v>322656</v>
      </c>
      <c r="I270" s="42">
        <f t="shared" si="11"/>
        <v>49416.33</v>
      </c>
      <c r="J270" s="42">
        <f t="shared" si="11"/>
        <v>21074.480000000003</v>
      </c>
      <c r="K270" s="42">
        <f t="shared" si="11"/>
        <v>190371.96</v>
      </c>
      <c r="L270" s="42">
        <f t="shared" si="11"/>
        <v>1102177.08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v>1582.86</v>
      </c>
      <c r="I275" s="18"/>
      <c r="J275" s="18">
        <v>16101.35</v>
      </c>
      <c r="K275" s="18"/>
      <c r="L275" s="19">
        <f>SUM(F275:K275)</f>
        <v>17684.21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18333.64</v>
      </c>
      <c r="G276" s="18"/>
      <c r="H276" s="18"/>
      <c r="I276" s="18"/>
      <c r="J276" s="18"/>
      <c r="K276" s="18"/>
      <c r="L276" s="19">
        <f>SUM(F276:K276)</f>
        <v>18333.64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6465.61</v>
      </c>
      <c r="I281" s="18"/>
      <c r="J281" s="18">
        <v>3704</v>
      </c>
      <c r="K281" s="18"/>
      <c r="L281" s="19">
        <f t="shared" si="12"/>
        <v>10169.61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70.98</v>
      </c>
      <c r="L284" s="19">
        <f t="shared" si="12"/>
        <v>70.98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18333.64</v>
      </c>
      <c r="G289" s="42">
        <f t="shared" si="13"/>
        <v>0</v>
      </c>
      <c r="H289" s="42">
        <f t="shared" si="13"/>
        <v>8048.4699999999993</v>
      </c>
      <c r="I289" s="42">
        <f t="shared" si="13"/>
        <v>0</v>
      </c>
      <c r="J289" s="42">
        <f t="shared" si="13"/>
        <v>19805.349999999999</v>
      </c>
      <c r="K289" s="42">
        <f t="shared" si="13"/>
        <v>70.98</v>
      </c>
      <c r="L289" s="41">
        <f t="shared" si="13"/>
        <v>46258.44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18333.64</v>
      </c>
      <c r="G337" s="41">
        <f t="shared" si="20"/>
        <v>0</v>
      </c>
      <c r="H337" s="41">
        <f t="shared" si="20"/>
        <v>8048.4699999999993</v>
      </c>
      <c r="I337" s="41">
        <f t="shared" si="20"/>
        <v>0</v>
      </c>
      <c r="J337" s="41">
        <f t="shared" si="20"/>
        <v>19805.349999999999</v>
      </c>
      <c r="K337" s="41">
        <f t="shared" si="20"/>
        <v>70.98</v>
      </c>
      <c r="L337" s="41">
        <f t="shared" si="20"/>
        <v>46258.44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18333.64</v>
      </c>
      <c r="G351" s="41">
        <f>G337</f>
        <v>0</v>
      </c>
      <c r="H351" s="41">
        <f>H337</f>
        <v>8048.4699999999993</v>
      </c>
      <c r="I351" s="41">
        <f>I337</f>
        <v>0</v>
      </c>
      <c r="J351" s="41">
        <f>J337</f>
        <v>19805.349999999999</v>
      </c>
      <c r="K351" s="47">
        <f>K337+K350</f>
        <v>70.98</v>
      </c>
      <c r="L351" s="41">
        <f>L337+L350</f>
        <v>46258.44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>
        <v>1898.43</v>
      </c>
      <c r="J357" s="18"/>
      <c r="K357" s="18">
        <v>47.06</v>
      </c>
      <c r="L357" s="13">
        <f>SUM(F357:K357)</f>
        <v>1945.49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1898.43</v>
      </c>
      <c r="J361" s="47">
        <f t="shared" si="22"/>
        <v>0</v>
      </c>
      <c r="K361" s="47">
        <f t="shared" si="22"/>
        <v>47.06</v>
      </c>
      <c r="L361" s="47">
        <f t="shared" si="22"/>
        <v>1945.49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18.600000000000001</v>
      </c>
      <c r="G366" s="18"/>
      <c r="H366" s="18"/>
      <c r="I366" s="56">
        <f>SUM(F366:H366)</f>
        <v>18.600000000000001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1879.83</v>
      </c>
      <c r="G367" s="63"/>
      <c r="H367" s="63"/>
      <c r="I367" s="56">
        <f>SUM(F367:H367)</f>
        <v>1879.83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1898.4299999999998</v>
      </c>
      <c r="G368" s="47">
        <f>SUM(G366:G367)</f>
        <v>0</v>
      </c>
      <c r="H368" s="47">
        <f>SUM(H366:H367)</f>
        <v>0</v>
      </c>
      <c r="I368" s="47">
        <f>SUM(I366:I367)</f>
        <v>1898.4299999999998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206397.98</v>
      </c>
      <c r="G464" s="18"/>
      <c r="H464" s="18"/>
      <c r="I464" s="18"/>
      <c r="J464" s="18"/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1034960.37</v>
      </c>
      <c r="G467" s="18">
        <v>1945.49</v>
      </c>
      <c r="H467" s="18">
        <v>46258.44</v>
      </c>
      <c r="I467" s="18"/>
      <c r="J467" s="18"/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1034960.37</v>
      </c>
      <c r="G469" s="53">
        <f>SUM(G467:G468)</f>
        <v>1945.49</v>
      </c>
      <c r="H469" s="53">
        <f>SUM(H467:H468)</f>
        <v>46258.44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1102177.08</v>
      </c>
      <c r="G471" s="18">
        <v>1945.49</v>
      </c>
      <c r="H471" s="18">
        <v>46258.44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1102177.08</v>
      </c>
      <c r="G473" s="53">
        <f>SUM(G471:G472)</f>
        <v>1945.49</v>
      </c>
      <c r="H473" s="53">
        <f>SUM(H471:H472)</f>
        <v>46258.44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139181.27000000002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7</v>
      </c>
      <c r="G489" s="154">
        <v>8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 t="s">
        <v>910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913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662606</v>
      </c>
      <c r="G492" s="18">
        <v>388105.5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3.38</v>
      </c>
      <c r="G493" s="18">
        <v>2.97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97826.44</v>
      </c>
      <c r="G494" s="18">
        <v>313105.5</v>
      </c>
      <c r="H494" s="18"/>
      <c r="I494" s="18"/>
      <c r="J494" s="18"/>
      <c r="K494" s="53">
        <f>SUM(F494:J494)</f>
        <v>410931.94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94658</v>
      </c>
      <c r="G497" s="205">
        <v>313105.5</v>
      </c>
      <c r="H497" s="205"/>
      <c r="I497" s="205"/>
      <c r="J497" s="205"/>
      <c r="K497" s="206">
        <f t="shared" si="35"/>
        <v>407763.5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1592.97</v>
      </c>
      <c r="G498" s="18">
        <v>19559.87</v>
      </c>
      <c r="H498" s="18"/>
      <c r="I498" s="18"/>
      <c r="J498" s="18"/>
      <c r="K498" s="53">
        <f t="shared" si="35"/>
        <v>21152.84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96250.97</v>
      </c>
      <c r="G499" s="42">
        <f>SUM(G497:G498)</f>
        <v>332665.37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428916.33999999997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94658</v>
      </c>
      <c r="G500" s="205">
        <v>75000</v>
      </c>
      <c r="H500" s="205"/>
      <c r="I500" s="205"/>
      <c r="J500" s="205"/>
      <c r="K500" s="206">
        <f t="shared" si="35"/>
        <v>169658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1592.97</v>
      </c>
      <c r="G501" s="18">
        <v>8201.81</v>
      </c>
      <c r="H501" s="18"/>
      <c r="I501" s="18"/>
      <c r="J501" s="18"/>
      <c r="K501" s="53">
        <f t="shared" si="35"/>
        <v>9794.7799999999988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96250.97</v>
      </c>
      <c r="G502" s="42">
        <f>SUM(G500:G501)</f>
        <v>83201.81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179452.78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34118.01</v>
      </c>
      <c r="G520" s="18">
        <v>2940.88</v>
      </c>
      <c r="H520" s="18">
        <v>20195.7</v>
      </c>
      <c r="I520" s="18">
        <v>161.06</v>
      </c>
      <c r="J520" s="18"/>
      <c r="K520" s="18"/>
      <c r="L520" s="88">
        <f>SUM(F520:K520)</f>
        <v>57415.649999999994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34118.01</v>
      </c>
      <c r="G523" s="108">
        <f t="shared" ref="G523:L523" si="36">SUM(G520:G522)</f>
        <v>2940.88</v>
      </c>
      <c r="H523" s="108">
        <f t="shared" si="36"/>
        <v>20195.7</v>
      </c>
      <c r="I523" s="108">
        <f t="shared" si="36"/>
        <v>161.06</v>
      </c>
      <c r="J523" s="108">
        <f t="shared" si="36"/>
        <v>0</v>
      </c>
      <c r="K523" s="108">
        <f t="shared" si="36"/>
        <v>0</v>
      </c>
      <c r="L523" s="89">
        <f t="shared" si="36"/>
        <v>57415.649999999994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1674.56</v>
      </c>
      <c r="G525" s="18">
        <v>142.27000000000001</v>
      </c>
      <c r="H525" s="18">
        <v>17732.45</v>
      </c>
      <c r="I525" s="18">
        <v>118.22</v>
      </c>
      <c r="J525" s="18"/>
      <c r="K525" s="18">
        <v>8</v>
      </c>
      <c r="L525" s="88">
        <f>SUM(F525:K525)</f>
        <v>19675.5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1674.56</v>
      </c>
      <c r="G528" s="89">
        <f t="shared" ref="G528:L528" si="37">SUM(G525:G527)</f>
        <v>142.27000000000001</v>
      </c>
      <c r="H528" s="89">
        <f t="shared" si="37"/>
        <v>17732.45</v>
      </c>
      <c r="I528" s="89">
        <f t="shared" si="37"/>
        <v>118.22</v>
      </c>
      <c r="J528" s="89">
        <f t="shared" si="37"/>
        <v>0</v>
      </c>
      <c r="K528" s="89">
        <f t="shared" si="37"/>
        <v>8</v>
      </c>
      <c r="L528" s="89">
        <f t="shared" si="37"/>
        <v>19675.5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6598.41</v>
      </c>
      <c r="G530" s="18">
        <v>2448.16</v>
      </c>
      <c r="H530" s="18">
        <v>114.69</v>
      </c>
      <c r="I530" s="18"/>
      <c r="J530" s="18"/>
      <c r="K530" s="18"/>
      <c r="L530" s="88">
        <f>SUM(F530:K530)</f>
        <v>9161.26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6598.41</v>
      </c>
      <c r="G533" s="89">
        <f t="shared" ref="G533:L533" si="38">SUM(G530:G532)</f>
        <v>2448.16</v>
      </c>
      <c r="H533" s="89">
        <f t="shared" si="38"/>
        <v>114.69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9161.26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42390.979999999996</v>
      </c>
      <c r="G544" s="89">
        <f t="shared" ref="G544:L544" si="41">G523+G528+G533+G538+G543</f>
        <v>5531.3099999999995</v>
      </c>
      <c r="H544" s="89">
        <f t="shared" si="41"/>
        <v>38042.840000000004</v>
      </c>
      <c r="I544" s="89">
        <f t="shared" si="41"/>
        <v>279.27999999999997</v>
      </c>
      <c r="J544" s="89">
        <f t="shared" si="41"/>
        <v>0</v>
      </c>
      <c r="K544" s="89">
        <f t="shared" si="41"/>
        <v>8</v>
      </c>
      <c r="L544" s="89">
        <f t="shared" si="41"/>
        <v>86252.409999999989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57415.649999999994</v>
      </c>
      <c r="G548" s="87">
        <f>L525</f>
        <v>19675.5</v>
      </c>
      <c r="H548" s="87">
        <f>L530</f>
        <v>9161.26</v>
      </c>
      <c r="I548" s="87">
        <f>L535</f>
        <v>0</v>
      </c>
      <c r="J548" s="87">
        <f>L540</f>
        <v>0</v>
      </c>
      <c r="K548" s="87">
        <f>SUM(F548:J548)</f>
        <v>86252.409999999989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57415.649999999994</v>
      </c>
      <c r="G551" s="89">
        <f t="shared" si="42"/>
        <v>19675.5</v>
      </c>
      <c r="H551" s="89">
        <f t="shared" si="42"/>
        <v>9161.26</v>
      </c>
      <c r="I551" s="89">
        <f t="shared" si="42"/>
        <v>0</v>
      </c>
      <c r="J551" s="89">
        <f t="shared" si="42"/>
        <v>0</v>
      </c>
      <c r="K551" s="89">
        <f t="shared" si="42"/>
        <v>86252.409999999989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108111.98</v>
      </c>
      <c r="I574" s="87">
        <f>SUM(F574:H574)</f>
        <v>108111.98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/>
      <c r="K590" s="104">
        <f t="shared" ref="K590:K596" si="48">SUM(H590:J590)</f>
        <v>0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10238</v>
      </c>
      <c r="I594" s="18"/>
      <c r="J594" s="18"/>
      <c r="K594" s="104">
        <f t="shared" si="48"/>
        <v>10238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10238</v>
      </c>
      <c r="I597" s="108">
        <f>SUM(I590:I596)</f>
        <v>0</v>
      </c>
      <c r="J597" s="108">
        <f>SUM(J590:J596)</f>
        <v>0</v>
      </c>
      <c r="K597" s="108">
        <f>SUM(K590:K596)</f>
        <v>10238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40879.83</v>
      </c>
      <c r="I603" s="18"/>
      <c r="J603" s="18"/>
      <c r="K603" s="104">
        <f>SUM(H603:J603)</f>
        <v>40879.83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40879.83</v>
      </c>
      <c r="I604" s="108">
        <f>SUM(I601:I603)</f>
        <v>0</v>
      </c>
      <c r="J604" s="108">
        <f>SUM(J601:J603)</f>
        <v>0</v>
      </c>
      <c r="K604" s="108">
        <f>SUM(K601:K603)</f>
        <v>40879.83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143338.29</v>
      </c>
      <c r="H616" s="109">
        <f>SUM(F51)</f>
        <v>143338.28999999998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139181.26999999999</v>
      </c>
      <c r="H621" s="109">
        <f>F475</f>
        <v>139181.27000000002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1034960.37</v>
      </c>
      <c r="H626" s="104">
        <f>SUM(F467)</f>
        <v>1034960.37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1945.4899999999998</v>
      </c>
      <c r="H627" s="104">
        <f>SUM(G467)</f>
        <v>1945.49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46258.44</v>
      </c>
      <c r="H628" s="104">
        <f>SUM(H467)</f>
        <v>46258.44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1102177.08</v>
      </c>
      <c r="H631" s="104">
        <f>SUM(F471)</f>
        <v>1102177.08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46258.44</v>
      </c>
      <c r="H632" s="104">
        <f>SUM(H471)</f>
        <v>46258.44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1898.43</v>
      </c>
      <c r="H633" s="104">
        <f>I368</f>
        <v>1898.4299999999998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1945.49</v>
      </c>
      <c r="H634" s="104">
        <f>SUM(G471)</f>
        <v>1945.49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10238</v>
      </c>
      <c r="H646" s="104">
        <f>L207+L225+L243</f>
        <v>10238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40879.83</v>
      </c>
      <c r="H647" s="104">
        <f>(J256+J337)-(J254+J335)</f>
        <v>40879.83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10238</v>
      </c>
      <c r="H648" s="104">
        <f>H597</f>
        <v>10238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545.85</v>
      </c>
      <c r="H651" s="104">
        <f>K262+K344</f>
        <v>545.85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855601.90000000014</v>
      </c>
      <c r="G659" s="19">
        <f>(L228+L308+L358)</f>
        <v>0</v>
      </c>
      <c r="H659" s="19">
        <f>(L246+L327+L359)</f>
        <v>108111.98</v>
      </c>
      <c r="I659" s="19">
        <f>SUM(F659:H659)</f>
        <v>963713.88000000012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1179.5999999999999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1179.5999999999999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10238</v>
      </c>
      <c r="G661" s="19">
        <f>(L225+L305)-(J225+J305)</f>
        <v>0</v>
      </c>
      <c r="H661" s="19">
        <f>(L243+L324)-(J243+J324)</f>
        <v>0</v>
      </c>
      <c r="I661" s="19">
        <f>SUM(F661:H661)</f>
        <v>10238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40879.83</v>
      </c>
      <c r="G662" s="200">
        <f>SUM(G574:G586)+SUM(I601:I603)+L611</f>
        <v>0</v>
      </c>
      <c r="H662" s="200">
        <f>SUM(H574:H586)+SUM(J601:J603)+L612</f>
        <v>108111.98</v>
      </c>
      <c r="I662" s="19">
        <f>SUM(F662:H662)</f>
        <v>148991.81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803304.47000000009</v>
      </c>
      <c r="G663" s="19">
        <f>G659-SUM(G660:G662)</f>
        <v>0</v>
      </c>
      <c r="H663" s="19">
        <f>H659-SUM(H660:H662)</f>
        <v>0</v>
      </c>
      <c r="I663" s="19">
        <f>I659-SUM(I660:I662)</f>
        <v>803304.47000000009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41.38</v>
      </c>
      <c r="G664" s="249"/>
      <c r="H664" s="249"/>
      <c r="I664" s="19">
        <f>SUM(F664:H664)</f>
        <v>41.38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19412.87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19412.87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19412.87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19412.87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WATERVILLE VALLEY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223648.3</v>
      </c>
      <c r="C9" s="230">
        <f>'DOE25'!G196+'DOE25'!G214+'DOE25'!G232+'DOE25'!G275+'DOE25'!G294+'DOE25'!G313</f>
        <v>89767.360000000001</v>
      </c>
    </row>
    <row r="10" spans="1:3">
      <c r="A10" t="s">
        <v>779</v>
      </c>
      <c r="B10" s="241">
        <v>214923.3</v>
      </c>
      <c r="C10" s="241">
        <v>89255.039999999994</v>
      </c>
    </row>
    <row r="11" spans="1:3">
      <c r="A11" t="s">
        <v>780</v>
      </c>
      <c r="B11" s="241"/>
      <c r="C11" s="241"/>
    </row>
    <row r="12" spans="1:3">
      <c r="A12" t="s">
        <v>781</v>
      </c>
      <c r="B12" s="241">
        <v>8725</v>
      </c>
      <c r="C12" s="241">
        <v>512.32000000000005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223648.3</v>
      </c>
      <c r="C13" s="232">
        <f>SUM(C10:C12)</f>
        <v>89767.360000000001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34118.01</v>
      </c>
      <c r="C18" s="230">
        <f>'DOE25'!G197+'DOE25'!G215+'DOE25'!G233+'DOE25'!G276+'DOE25'!G295+'DOE25'!G314</f>
        <v>2940.88</v>
      </c>
    </row>
    <row r="19" spans="1:3">
      <c r="A19" t="s">
        <v>779</v>
      </c>
      <c r="B19" s="241">
        <v>24296.51</v>
      </c>
      <c r="C19" s="241">
        <v>2156.42</v>
      </c>
    </row>
    <row r="20" spans="1:3">
      <c r="A20" t="s">
        <v>780</v>
      </c>
      <c r="B20" s="241">
        <v>9821.5</v>
      </c>
      <c r="C20" s="241">
        <v>784.46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34118.009999999995</v>
      </c>
      <c r="C22" s="232">
        <f>SUM(C19:C21)</f>
        <v>2940.88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4321.8599999999997</v>
      </c>
      <c r="C36" s="236">
        <f>'DOE25'!G199+'DOE25'!G217+'DOE25'!G235+'DOE25'!G278+'DOE25'!G297+'DOE25'!G316</f>
        <v>381.55</v>
      </c>
    </row>
    <row r="37" spans="1:3">
      <c r="A37" t="s">
        <v>779</v>
      </c>
      <c r="B37" s="241">
        <v>4321.8599999999997</v>
      </c>
      <c r="C37" s="241">
        <v>381.55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4321.8599999999997</v>
      </c>
      <c r="C40" s="232">
        <f>SUM(C37:C39)</f>
        <v>381.55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WATERVILLE VALLEY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474402.47</v>
      </c>
      <c r="D5" s="20">
        <f>SUM('DOE25'!L196:L199)+SUM('DOE25'!L214:L217)+SUM('DOE25'!L232:L235)-F5-G5</f>
        <v>468199.01999999996</v>
      </c>
      <c r="E5" s="244"/>
      <c r="F5" s="256">
        <f>SUM('DOE25'!J196:J199)+SUM('DOE25'!J214:J217)+SUM('DOE25'!J232:J235)</f>
        <v>5921.45</v>
      </c>
      <c r="G5" s="53">
        <f>SUM('DOE25'!K196:K199)+SUM('DOE25'!K214:K217)+SUM('DOE25'!K232:K235)</f>
        <v>282</v>
      </c>
      <c r="H5" s="260"/>
    </row>
    <row r="6" spans="1:9">
      <c r="A6" s="32">
        <v>2100</v>
      </c>
      <c r="B6" t="s">
        <v>801</v>
      </c>
      <c r="C6" s="246">
        <f t="shared" si="0"/>
        <v>27117.33</v>
      </c>
      <c r="D6" s="20">
        <f>'DOE25'!L201+'DOE25'!L219+'DOE25'!L237-F6-G6</f>
        <v>27077.33</v>
      </c>
      <c r="E6" s="244"/>
      <c r="F6" s="256">
        <f>'DOE25'!J201+'DOE25'!J219+'DOE25'!J237</f>
        <v>0</v>
      </c>
      <c r="G6" s="53">
        <f>'DOE25'!K201+'DOE25'!K219+'DOE25'!K237</f>
        <v>40</v>
      </c>
      <c r="H6" s="260"/>
    </row>
    <row r="7" spans="1:9">
      <c r="A7" s="32">
        <v>2200</v>
      </c>
      <c r="B7" t="s">
        <v>834</v>
      </c>
      <c r="C7" s="246">
        <f t="shared" si="0"/>
        <v>18115.27</v>
      </c>
      <c r="D7" s="20">
        <f>'DOE25'!L202+'DOE25'!L220+'DOE25'!L238-F7-G7</f>
        <v>12654</v>
      </c>
      <c r="E7" s="244"/>
      <c r="F7" s="256">
        <f>'DOE25'!J202+'DOE25'!J220+'DOE25'!J238</f>
        <v>5461.27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57684.76999999999</v>
      </c>
      <c r="D8" s="244"/>
      <c r="E8" s="20">
        <f>'DOE25'!L203+'DOE25'!L221+'DOE25'!L239-F8-G8-D9-D11</f>
        <v>55339.349999999991</v>
      </c>
      <c r="F8" s="256">
        <f>'DOE25'!J203+'DOE25'!J221+'DOE25'!J239</f>
        <v>0</v>
      </c>
      <c r="G8" s="53">
        <f>'DOE25'!K203+'DOE25'!K221+'DOE25'!K239</f>
        <v>2345.42</v>
      </c>
      <c r="H8" s="260"/>
    </row>
    <row r="9" spans="1:9">
      <c r="A9" s="32">
        <v>2310</v>
      </c>
      <c r="B9" t="s">
        <v>818</v>
      </c>
      <c r="C9" s="246">
        <f t="shared" si="0"/>
        <v>2793.05</v>
      </c>
      <c r="D9" s="245">
        <v>2793.05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5575</v>
      </c>
      <c r="D10" s="244"/>
      <c r="E10" s="245">
        <v>5575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31020.74</v>
      </c>
      <c r="D11" s="245">
        <v>31020.74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168058.19000000003</v>
      </c>
      <c r="D12" s="20">
        <f>'DOE25'!L204+'DOE25'!L222+'DOE25'!L240-F12-G12</f>
        <v>167087.93000000002</v>
      </c>
      <c r="E12" s="244"/>
      <c r="F12" s="256">
        <f>'DOE25'!J204+'DOE25'!J222+'DOE25'!J240</f>
        <v>0</v>
      </c>
      <c r="G12" s="53">
        <f>'DOE25'!K204+'DOE25'!K222+'DOE25'!K240</f>
        <v>970.26</v>
      </c>
      <c r="H12" s="260"/>
    </row>
    <row r="13" spans="1:9">
      <c r="A13" s="32">
        <v>2500</v>
      </c>
      <c r="B13" t="s">
        <v>803</v>
      </c>
      <c r="C13" s="246">
        <f t="shared" si="0"/>
        <v>67.150000000000006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67.150000000000006</v>
      </c>
      <c r="H13" s="260"/>
    </row>
    <row r="14" spans="1:9">
      <c r="A14" s="32">
        <v>2600</v>
      </c>
      <c r="B14" t="s">
        <v>832</v>
      </c>
      <c r="C14" s="246">
        <f t="shared" si="0"/>
        <v>126012.98</v>
      </c>
      <c r="D14" s="20">
        <f>'DOE25'!L206+'DOE25'!L224+'DOE25'!L242-F14-G14</f>
        <v>116321.22</v>
      </c>
      <c r="E14" s="244"/>
      <c r="F14" s="256">
        <f>'DOE25'!J206+'DOE25'!J224+'DOE25'!J242</f>
        <v>9691.76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10238</v>
      </c>
      <c r="D15" s="20">
        <f>'DOE25'!L207+'DOE25'!L225+'DOE25'!L243-F15-G15</f>
        <v>10238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186121.28</v>
      </c>
      <c r="D25" s="244"/>
      <c r="E25" s="244"/>
      <c r="F25" s="259"/>
      <c r="G25" s="257"/>
      <c r="H25" s="258">
        <f>'DOE25'!L259+'DOE25'!L260+'DOE25'!L340+'DOE25'!L341</f>
        <v>186121.28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1926.89</v>
      </c>
      <c r="D29" s="20">
        <f>'DOE25'!L357+'DOE25'!L358+'DOE25'!L359-'DOE25'!I366-F29-G29</f>
        <v>1879.8300000000002</v>
      </c>
      <c r="E29" s="244"/>
      <c r="F29" s="256">
        <f>'DOE25'!J357+'DOE25'!J358+'DOE25'!J359</f>
        <v>0</v>
      </c>
      <c r="G29" s="53">
        <f>'DOE25'!K357+'DOE25'!K358+'DOE25'!K359</f>
        <v>47.06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46258.44000000001</v>
      </c>
      <c r="D31" s="20">
        <f>'DOE25'!L289+'DOE25'!L308+'DOE25'!L327+'DOE25'!L332+'DOE25'!L333+'DOE25'!L334-F31-G31</f>
        <v>26382.110000000004</v>
      </c>
      <c r="E31" s="244"/>
      <c r="F31" s="256">
        <f>'DOE25'!J289+'DOE25'!J308+'DOE25'!J327+'DOE25'!J332+'DOE25'!J333+'DOE25'!J334</f>
        <v>19805.349999999999</v>
      </c>
      <c r="G31" s="53">
        <f>'DOE25'!K289+'DOE25'!K308+'DOE25'!K327+'DOE25'!K332+'DOE25'!K333+'DOE25'!K334</f>
        <v>70.98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863653.23</v>
      </c>
      <c r="E33" s="247">
        <f>SUM(E5:E31)</f>
        <v>60914.349999999991</v>
      </c>
      <c r="F33" s="247">
        <f>SUM(F5:F31)</f>
        <v>40879.83</v>
      </c>
      <c r="G33" s="247">
        <f>SUM(G5:G31)</f>
        <v>3822.8700000000003</v>
      </c>
      <c r="H33" s="247">
        <f>SUM(H5:H31)</f>
        <v>186121.28</v>
      </c>
    </row>
    <row r="35" spans="2:8" ht="12" thickBot="1">
      <c r="B35" s="254" t="s">
        <v>847</v>
      </c>
      <c r="D35" s="255">
        <f>E33</f>
        <v>60914.349999999991</v>
      </c>
      <c r="E35" s="250"/>
    </row>
    <row r="36" spans="2:8" ht="12" thickTop="1">
      <c r="B36" t="s">
        <v>815</v>
      </c>
      <c r="D36" s="20">
        <f>D33</f>
        <v>863653.23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WATERVILLE VALLEY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143109.13</v>
      </c>
      <c r="D8" s="95">
        <f>'DOE25'!G9</f>
        <v>0</v>
      </c>
      <c r="E8" s="95">
        <f>'DOE25'!H9</f>
        <v>-26885.09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90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26885.09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139.16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143338.29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4157.0200000000004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4157.0200000000004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56083.23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83098.039999999994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139181.26999999999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>
      <c r="A50" s="38" t="s">
        <v>895</v>
      </c>
      <c r="B50" s="2"/>
      <c r="C50" s="41">
        <f>C49+C31</f>
        <v>143338.28999999998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0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69688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57281.21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22.04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1179.5999999999999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9373.7800000000007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66677.03</v>
      </c>
      <c r="D61" s="130">
        <f>SUM(D56:D60)</f>
        <v>1179.5999999999999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136365.03</v>
      </c>
      <c r="D62" s="22">
        <f>D55+D61</f>
        <v>1179.5999999999999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841263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841263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28397.4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28397.4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869660.4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19162.25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220.04</v>
      </c>
      <c r="E87" s="95">
        <f>SUM('DOE25'!H152:H160)</f>
        <v>27096.19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28934.94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28934.94</v>
      </c>
      <c r="D90" s="131">
        <f>SUM(D84:D89)</f>
        <v>220.04</v>
      </c>
      <c r="E90" s="131">
        <f>SUM(E84:E89)</f>
        <v>46258.44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545.85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545.85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1034960.37</v>
      </c>
      <c r="D103" s="86">
        <f>D62+D80+D90+D102</f>
        <v>1945.4899999999998</v>
      </c>
      <c r="E103" s="86">
        <f>E62+E80+E90+E102</f>
        <v>46258.44</v>
      </c>
      <c r="F103" s="86">
        <f>F62+F80+F90+F102</f>
        <v>0</v>
      </c>
      <c r="G103" s="86">
        <f>G62+G80+G102</f>
        <v>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443003.36999999994</v>
      </c>
      <c r="D108" s="24" t="s">
        <v>289</v>
      </c>
      <c r="E108" s="95">
        <f>('DOE25'!L275)+('DOE25'!L294)+('DOE25'!L313)</f>
        <v>17684.21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24667.070000000003</v>
      </c>
      <c r="D109" s="24" t="s">
        <v>289</v>
      </c>
      <c r="E109" s="95">
        <f>('DOE25'!L276)+('DOE25'!L295)+('DOE25'!L314)</f>
        <v>18333.64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6732.03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474402.47</v>
      </c>
      <c r="D114" s="86">
        <f>SUM(D108:D113)</f>
        <v>0</v>
      </c>
      <c r="E114" s="86">
        <f>SUM(E108:E113)</f>
        <v>36017.85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27117.33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18115.27</v>
      </c>
      <c r="D118" s="24" t="s">
        <v>289</v>
      </c>
      <c r="E118" s="95">
        <f>+('DOE25'!L281)+('DOE25'!L300)+('DOE25'!L319)</f>
        <v>10169.61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91498.559999999998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168058.19000000003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67.150000000000006</v>
      </c>
      <c r="D121" s="24" t="s">
        <v>289</v>
      </c>
      <c r="E121" s="95">
        <f>+('DOE25'!L284)+('DOE25'!L303)+('DOE25'!L322)</f>
        <v>70.98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126012.98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10238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1945.49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441107.48000000004</v>
      </c>
      <c r="D127" s="86">
        <f>SUM(D117:D126)</f>
        <v>1945.49</v>
      </c>
      <c r="E127" s="86">
        <f>SUM(E117:E126)</f>
        <v>10240.59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170958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15163.28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545.85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186667.13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1102177.08</v>
      </c>
      <c r="D144" s="86">
        <f>(D114+D127+D143)</f>
        <v>1945.49</v>
      </c>
      <c r="E144" s="86">
        <f>(E114+E127+E143)</f>
        <v>46258.44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7</v>
      </c>
      <c r="C150" s="153">
        <f>'DOE25'!G489</f>
        <v>8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07/05</v>
      </c>
      <c r="C151" s="152" t="str">
        <f>'DOE25'!G490</f>
        <v>07/10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08/12</v>
      </c>
      <c r="C152" s="152" t="str">
        <f>'DOE25'!G491</f>
        <v>08/16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662606</v>
      </c>
      <c r="C153" s="137">
        <f>'DOE25'!G492</f>
        <v>388105.5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3.38</v>
      </c>
      <c r="C154" s="137">
        <f>'DOE25'!G493</f>
        <v>2.97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97826.44</v>
      </c>
      <c r="C155" s="137">
        <f>'DOE25'!G494</f>
        <v>313105.5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410931.94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94658</v>
      </c>
      <c r="C158" s="137">
        <f>'DOE25'!G497</f>
        <v>313105.5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407763.5</v>
      </c>
    </row>
    <row r="159" spans="1:9">
      <c r="A159" s="22" t="s">
        <v>36</v>
      </c>
      <c r="B159" s="137">
        <f>'DOE25'!F498</f>
        <v>1592.97</v>
      </c>
      <c r="C159" s="137">
        <f>'DOE25'!G498</f>
        <v>19559.87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21152.84</v>
      </c>
    </row>
    <row r="160" spans="1:9">
      <c r="A160" s="22" t="s">
        <v>37</v>
      </c>
      <c r="B160" s="137">
        <f>'DOE25'!F499</f>
        <v>96250.97</v>
      </c>
      <c r="C160" s="137">
        <f>'DOE25'!G499</f>
        <v>332665.37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428916.33999999997</v>
      </c>
    </row>
    <row r="161" spans="1:7">
      <c r="A161" s="22" t="s">
        <v>38</v>
      </c>
      <c r="B161" s="137">
        <f>'DOE25'!F500</f>
        <v>94658</v>
      </c>
      <c r="C161" s="137">
        <f>'DOE25'!G500</f>
        <v>75000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169658</v>
      </c>
    </row>
    <row r="162" spans="1:7">
      <c r="A162" s="22" t="s">
        <v>39</v>
      </c>
      <c r="B162" s="137">
        <f>'DOE25'!F501</f>
        <v>1592.97</v>
      </c>
      <c r="C162" s="137">
        <f>'DOE25'!G501</f>
        <v>8201.81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9794.7799999999988</v>
      </c>
    </row>
    <row r="163" spans="1:7">
      <c r="A163" s="22" t="s">
        <v>246</v>
      </c>
      <c r="B163" s="137">
        <f>'DOE25'!F502</f>
        <v>96250.97</v>
      </c>
      <c r="C163" s="137">
        <f>'DOE25'!G502</f>
        <v>83201.81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179452.78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WATERVILLE VALLEY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19413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19413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460688</v>
      </c>
      <c r="D10" s="182">
        <f>ROUND((C10/$C$28)*100,1)</f>
        <v>47.1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43001</v>
      </c>
      <c r="D11" s="182">
        <f>ROUND((C11/$C$28)*100,1)</f>
        <v>4.4000000000000004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6732</v>
      </c>
      <c r="D13" s="182">
        <f>ROUND((C13/$C$28)*100,1)</f>
        <v>0.7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27117</v>
      </c>
      <c r="D15" s="182">
        <f t="shared" ref="D15:D27" si="0">ROUND((C15/$C$28)*100,1)</f>
        <v>2.8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28285</v>
      </c>
      <c r="D16" s="182">
        <f t="shared" si="0"/>
        <v>2.9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91499</v>
      </c>
      <c r="D17" s="182">
        <f t="shared" si="0"/>
        <v>9.4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168058</v>
      </c>
      <c r="D18" s="182">
        <f t="shared" si="0"/>
        <v>17.2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138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126013</v>
      </c>
      <c r="D20" s="182">
        <f t="shared" si="0"/>
        <v>12.9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10238</v>
      </c>
      <c r="D21" s="182">
        <f t="shared" si="0"/>
        <v>1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15163</v>
      </c>
      <c r="D25" s="182">
        <f t="shared" si="0"/>
        <v>1.6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765.40000000000009</v>
      </c>
      <c r="D27" s="182">
        <f t="shared" si="0"/>
        <v>0.1</v>
      </c>
    </row>
    <row r="28" spans="1:4">
      <c r="B28" s="187" t="s">
        <v>723</v>
      </c>
      <c r="C28" s="180">
        <f>SUM(C10:C27)</f>
        <v>977697.4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977697.4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170958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69688</v>
      </c>
      <c r="D35" s="182">
        <f t="shared" ref="D35:D40" si="1">ROUND((C35/$C$41)*100,1)</f>
        <v>6.4</v>
      </c>
    </row>
    <row r="36" spans="1:4">
      <c r="B36" s="185" t="s">
        <v>743</v>
      </c>
      <c r="C36" s="179">
        <f>SUM('DOE25'!F111:J111)-SUM('DOE25'!G96:G109)+('DOE25'!F173+'DOE25'!F174+'DOE25'!I173+'DOE25'!I174)-C35</f>
        <v>66677.03</v>
      </c>
      <c r="D36" s="182">
        <f t="shared" si="1"/>
        <v>6.2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841263</v>
      </c>
      <c r="D37" s="182">
        <f t="shared" si="1"/>
        <v>77.8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28397</v>
      </c>
      <c r="D38" s="182">
        <f t="shared" si="1"/>
        <v>2.6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75413</v>
      </c>
      <c r="D39" s="182">
        <f t="shared" si="1"/>
        <v>7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1081438.03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WATERVILLE VALLEY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2012-10-15T13:44:07Z</cp:lastPrinted>
  <dcterms:created xsi:type="dcterms:W3CDTF">1997-12-04T19:04:30Z</dcterms:created>
  <dcterms:modified xsi:type="dcterms:W3CDTF">2012-11-21T16:27:00Z</dcterms:modified>
</cp:coreProperties>
</file>