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390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7" i="1" l="1"/>
  <c r="I520" i="1" l="1"/>
  <c r="C19" i="12"/>
  <c r="B19" i="12"/>
  <c r="H358" i="1"/>
  <c r="H357" i="1"/>
  <c r="K358" i="1"/>
  <c r="K357" i="1"/>
  <c r="G96" i="1"/>
  <c r="F40" i="2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D18" i="13" s="1"/>
  <c r="C18" i="13" s="1"/>
  <c r="L251" i="1"/>
  <c r="F19" i="13"/>
  <c r="G19" i="13"/>
  <c r="L252" i="1"/>
  <c r="D19" i="13" s="1"/>
  <c r="C19" i="13" s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C131" i="2" s="1"/>
  <c r="L340" i="1"/>
  <c r="E130" i="2" s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D55" i="2" s="1"/>
  <c r="H59" i="1"/>
  <c r="I59" i="1"/>
  <c r="F55" i="2" s="1"/>
  <c r="F78" i="1"/>
  <c r="F93" i="1"/>
  <c r="C57" i="2" s="1"/>
  <c r="F110" i="1"/>
  <c r="G110" i="1"/>
  <c r="G111" i="1" s="1"/>
  <c r="H78" i="1"/>
  <c r="E56" i="2" s="1"/>
  <c r="H93" i="1"/>
  <c r="E57" i="2" s="1"/>
  <c r="H110" i="1"/>
  <c r="I110" i="1"/>
  <c r="I111" i="1" s="1"/>
  <c r="J110" i="1"/>
  <c r="F120" i="1"/>
  <c r="F135" i="1"/>
  <c r="G120" i="1"/>
  <c r="G135" i="1"/>
  <c r="H120" i="1"/>
  <c r="H135" i="1"/>
  <c r="I120" i="1"/>
  <c r="I135" i="1"/>
  <c r="J120" i="1"/>
  <c r="J135" i="1"/>
  <c r="F146" i="1"/>
  <c r="C84" i="2" s="1"/>
  <c r="F161" i="1"/>
  <c r="G146" i="1"/>
  <c r="D84" i="2" s="1"/>
  <c r="G161" i="1"/>
  <c r="H146" i="1"/>
  <c r="E84" i="2" s="1"/>
  <c r="H161" i="1"/>
  <c r="I146" i="1"/>
  <c r="F84" i="2" s="1"/>
  <c r="I161" i="1"/>
  <c r="L249" i="1"/>
  <c r="L331" i="1"/>
  <c r="L253" i="1"/>
  <c r="L267" i="1"/>
  <c r="L268" i="1"/>
  <c r="C142" i="2" s="1"/>
  <c r="L348" i="1"/>
  <c r="L349" i="1"/>
  <c r="I664" i="1"/>
  <c r="I669" i="1"/>
  <c r="H661" i="1"/>
  <c r="I668" i="1"/>
  <c r="C6" i="10"/>
  <c r="C42" i="10"/>
  <c r="L373" i="1"/>
  <c r="L374" i="1"/>
  <c r="L375" i="1"/>
  <c r="L376" i="1"/>
  <c r="L377" i="1"/>
  <c r="L378" i="1"/>
  <c r="L379" i="1"/>
  <c r="B2" i="10"/>
  <c r="L343" i="1"/>
  <c r="E133" i="2" s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K269" i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E55" i="2"/>
  <c r="C56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12" i="2"/>
  <c r="E112" i="2"/>
  <c r="C113" i="2"/>
  <c r="D114" i="2"/>
  <c r="F114" i="2"/>
  <c r="G114" i="2"/>
  <c r="C120" i="2"/>
  <c r="F127" i="2"/>
  <c r="G127" i="2"/>
  <c r="C129" i="2"/>
  <c r="E129" i="2"/>
  <c r="F129" i="2"/>
  <c r="D133" i="2"/>
  <c r="D143" i="2" s="1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G621" i="1" s="1"/>
  <c r="G50" i="1"/>
  <c r="G622" i="1" s="1"/>
  <c r="H50" i="1"/>
  <c r="G623" i="1" s="1"/>
  <c r="I50" i="1"/>
  <c r="G624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G639" i="1" s="1"/>
  <c r="H445" i="1"/>
  <c r="F451" i="1"/>
  <c r="G451" i="1"/>
  <c r="H451" i="1"/>
  <c r="F459" i="1"/>
  <c r="G459" i="1"/>
  <c r="H459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H626" i="1"/>
  <c r="H627" i="1"/>
  <c r="H628" i="1"/>
  <c r="H629" i="1"/>
  <c r="H630" i="1"/>
  <c r="H631" i="1"/>
  <c r="H632" i="1"/>
  <c r="H634" i="1"/>
  <c r="H635" i="1"/>
  <c r="H636" i="1"/>
  <c r="H637" i="1"/>
  <c r="G640" i="1"/>
  <c r="G642" i="1"/>
  <c r="H642" i="1"/>
  <c r="G643" i="1"/>
  <c r="G644" i="1"/>
  <c r="G650" i="1"/>
  <c r="G651" i="1"/>
  <c r="H651" i="1"/>
  <c r="G652" i="1"/>
  <c r="H652" i="1"/>
  <c r="G653" i="1"/>
  <c r="H653" i="1"/>
  <c r="H654" i="1"/>
  <c r="L327" i="1"/>
  <c r="D17" i="13"/>
  <c r="C17" i="13" s="1"/>
  <c r="G155" i="2"/>
  <c r="G61" i="2" l="1"/>
  <c r="G161" i="2"/>
  <c r="G159" i="2"/>
  <c r="E110" i="2"/>
  <c r="E108" i="2"/>
  <c r="G102" i="2"/>
  <c r="J111" i="1"/>
  <c r="E102" i="2"/>
  <c r="L255" i="1"/>
  <c r="G162" i="2"/>
  <c r="K433" i="1"/>
  <c r="G133" i="2" s="1"/>
  <c r="G143" i="2" s="1"/>
  <c r="G144" i="2" s="1"/>
  <c r="F61" i="2"/>
  <c r="D61" i="2"/>
  <c r="D62" i="2" s="1"/>
  <c r="H433" i="1"/>
  <c r="F191" i="1"/>
  <c r="G163" i="2"/>
  <c r="G160" i="2"/>
  <c r="G158" i="2"/>
  <c r="G156" i="2"/>
  <c r="C61" i="2"/>
  <c r="C62" i="2" s="1"/>
  <c r="E111" i="2"/>
  <c r="E109" i="2"/>
  <c r="L246" i="1"/>
  <c r="H659" i="1" s="1"/>
  <c r="C124" i="2"/>
  <c r="E143" i="2"/>
  <c r="J433" i="1"/>
  <c r="F433" i="1"/>
  <c r="G407" i="1"/>
  <c r="H644" i="1" s="1"/>
  <c r="I407" i="1"/>
  <c r="G157" i="2"/>
  <c r="L269" i="1"/>
  <c r="C32" i="10"/>
  <c r="E118" i="2"/>
  <c r="L350" i="1"/>
  <c r="C26" i="10"/>
  <c r="L538" i="1"/>
  <c r="K502" i="1"/>
  <c r="H460" i="1"/>
  <c r="H640" i="1" s="1"/>
  <c r="F460" i="1"/>
  <c r="H638" i="1" s="1"/>
  <c r="K337" i="1"/>
  <c r="K351" i="1" s="1"/>
  <c r="C77" i="2"/>
  <c r="C69" i="2"/>
  <c r="D31" i="2"/>
  <c r="L406" i="1"/>
  <c r="C139" i="2" s="1"/>
  <c r="E113" i="2"/>
  <c r="E114" i="2" s="1"/>
  <c r="E119" i="2"/>
  <c r="E117" i="2"/>
  <c r="L528" i="1"/>
  <c r="L543" i="1"/>
  <c r="L523" i="1"/>
  <c r="G460" i="1"/>
  <c r="H639" i="1" s="1"/>
  <c r="J639" i="1" s="1"/>
  <c r="I451" i="1"/>
  <c r="I445" i="1"/>
  <c r="G641" i="1" s="1"/>
  <c r="C24" i="10"/>
  <c r="F660" i="1"/>
  <c r="G31" i="13"/>
  <c r="G33" i="13" s="1"/>
  <c r="I337" i="1"/>
  <c r="I351" i="1" s="1"/>
  <c r="E124" i="2"/>
  <c r="E123" i="2"/>
  <c r="E122" i="2"/>
  <c r="E121" i="2"/>
  <c r="E120" i="2"/>
  <c r="J337" i="1"/>
  <c r="J351" i="1" s="1"/>
  <c r="C18" i="10"/>
  <c r="L289" i="1"/>
  <c r="C130" i="2"/>
  <c r="C25" i="10"/>
  <c r="F102" i="2"/>
  <c r="I191" i="1"/>
  <c r="F90" i="2"/>
  <c r="F77" i="2"/>
  <c r="F80" i="2" s="1"/>
  <c r="F62" i="2"/>
  <c r="E90" i="2"/>
  <c r="E61" i="2"/>
  <c r="E62" i="2" s="1"/>
  <c r="D102" i="2"/>
  <c r="J651" i="1"/>
  <c r="D90" i="2"/>
  <c r="C102" i="2"/>
  <c r="C90" i="2"/>
  <c r="D49" i="2"/>
  <c r="G570" i="1"/>
  <c r="G168" i="1"/>
  <c r="I139" i="1"/>
  <c r="G139" i="1"/>
  <c r="F139" i="1"/>
  <c r="I662" i="1"/>
  <c r="F31" i="13"/>
  <c r="H646" i="1"/>
  <c r="C12" i="10"/>
  <c r="C108" i="2"/>
  <c r="C119" i="2"/>
  <c r="J653" i="1"/>
  <c r="J652" i="1"/>
  <c r="F544" i="1"/>
  <c r="G433" i="1"/>
  <c r="K256" i="1"/>
  <c r="K270" i="1" s="1"/>
  <c r="A31" i="12"/>
  <c r="A40" i="12"/>
  <c r="I368" i="1"/>
  <c r="H633" i="1" s="1"/>
  <c r="J633" i="1" s="1"/>
  <c r="G661" i="1"/>
  <c r="D14" i="13"/>
  <c r="C14" i="13" s="1"/>
  <c r="C13" i="10"/>
  <c r="C11" i="10"/>
  <c r="F49" i="2"/>
  <c r="F18" i="2"/>
  <c r="E49" i="2"/>
  <c r="I433" i="1"/>
  <c r="H407" i="1"/>
  <c r="H643" i="1" s="1"/>
  <c r="J643" i="1" s="1"/>
  <c r="I459" i="1"/>
  <c r="D126" i="2"/>
  <c r="D127" i="2" s="1"/>
  <c r="D144" i="2" s="1"/>
  <c r="H660" i="1"/>
  <c r="G660" i="1"/>
  <c r="D29" i="13"/>
  <c r="C29" i="13" s="1"/>
  <c r="L361" i="1"/>
  <c r="D12" i="13"/>
  <c r="C12" i="13" s="1"/>
  <c r="E13" i="13"/>
  <c r="C13" i="13" s="1"/>
  <c r="I256" i="1"/>
  <c r="I270" i="1" s="1"/>
  <c r="G649" i="1"/>
  <c r="J649" i="1" s="1"/>
  <c r="L228" i="1"/>
  <c r="C121" i="2"/>
  <c r="G256" i="1"/>
  <c r="G270" i="1" s="1"/>
  <c r="F256" i="1"/>
  <c r="F270" i="1" s="1"/>
  <c r="D6" i="13"/>
  <c r="C6" i="13" s="1"/>
  <c r="D7" i="13"/>
  <c r="C7" i="13" s="1"/>
  <c r="D15" i="13"/>
  <c r="C15" i="13" s="1"/>
  <c r="G648" i="1"/>
  <c r="J648" i="1" s="1"/>
  <c r="C111" i="2"/>
  <c r="C110" i="2"/>
  <c r="C109" i="2"/>
  <c r="F661" i="1"/>
  <c r="C21" i="10"/>
  <c r="C123" i="2"/>
  <c r="C20" i="10"/>
  <c r="C122" i="2"/>
  <c r="C19" i="10"/>
  <c r="E8" i="13"/>
  <c r="C8" i="13" s="1"/>
  <c r="C17" i="10"/>
  <c r="C16" i="10"/>
  <c r="C118" i="2"/>
  <c r="L210" i="1"/>
  <c r="C117" i="2"/>
  <c r="C15" i="10"/>
  <c r="A22" i="12"/>
  <c r="C10" i="10"/>
  <c r="D18" i="2"/>
  <c r="F31" i="2"/>
  <c r="I51" i="1"/>
  <c r="H619" i="1" s="1"/>
  <c r="J619" i="1" s="1"/>
  <c r="E31" i="2"/>
  <c r="H51" i="1"/>
  <c r="H618" i="1" s="1"/>
  <c r="J618" i="1" s="1"/>
  <c r="E18" i="2"/>
  <c r="G51" i="1"/>
  <c r="H617" i="1" s="1"/>
  <c r="J617" i="1" s="1"/>
  <c r="C31" i="2"/>
  <c r="F51" i="1"/>
  <c r="H616" i="1" s="1"/>
  <c r="J616" i="1" s="1"/>
  <c r="C18" i="2"/>
  <c r="E77" i="2"/>
  <c r="E80" i="2" s="1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C23" i="10"/>
  <c r="F168" i="1"/>
  <c r="J139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K544" i="1"/>
  <c r="J551" i="1"/>
  <c r="H551" i="1"/>
  <c r="C29" i="10"/>
  <c r="H139" i="1"/>
  <c r="L400" i="1"/>
  <c r="C138" i="2" s="1"/>
  <c r="L392" i="1"/>
  <c r="A13" i="12"/>
  <c r="F22" i="13"/>
  <c r="H25" i="13"/>
  <c r="J650" i="1"/>
  <c r="H570" i="1"/>
  <c r="L559" i="1"/>
  <c r="J544" i="1"/>
  <c r="L336" i="1"/>
  <c r="H337" i="1"/>
  <c r="H351" i="1" s="1"/>
  <c r="F337" i="1"/>
  <c r="F351" i="1" s="1"/>
  <c r="G191" i="1"/>
  <c r="H191" i="1"/>
  <c r="F551" i="1"/>
  <c r="C35" i="10"/>
  <c r="L308" i="1"/>
  <c r="D5" i="13"/>
  <c r="E16" i="13"/>
  <c r="C49" i="2"/>
  <c r="J654" i="1"/>
  <c r="J644" i="1"/>
  <c r="L569" i="1"/>
  <c r="I570" i="1"/>
  <c r="I544" i="1"/>
  <c r="J635" i="1"/>
  <c r="G36" i="2"/>
  <c r="G49" i="2" s="1"/>
  <c r="J50" i="1"/>
  <c r="L564" i="1"/>
  <c r="G544" i="1"/>
  <c r="H544" i="1"/>
  <c r="K550" i="1"/>
  <c r="F143" i="2"/>
  <c r="F144" i="2" s="1"/>
  <c r="J646" i="1" l="1"/>
  <c r="L570" i="1"/>
  <c r="J192" i="1"/>
  <c r="C80" i="2"/>
  <c r="C103" i="2" s="1"/>
  <c r="H663" i="1"/>
  <c r="H666" i="1" s="1"/>
  <c r="F50" i="2"/>
  <c r="D50" i="2"/>
  <c r="I192" i="1"/>
  <c r="G629" i="1" s="1"/>
  <c r="J629" i="1" s="1"/>
  <c r="C36" i="10"/>
  <c r="L544" i="1"/>
  <c r="K551" i="1"/>
  <c r="G50" i="2"/>
  <c r="I460" i="1"/>
  <c r="H641" i="1" s="1"/>
  <c r="J641" i="1" s="1"/>
  <c r="I661" i="1"/>
  <c r="E127" i="2"/>
  <c r="E144" i="2" s="1"/>
  <c r="H647" i="1"/>
  <c r="J647" i="1" s="1"/>
  <c r="F103" i="2"/>
  <c r="H192" i="1"/>
  <c r="G628" i="1" s="1"/>
  <c r="J628" i="1" s="1"/>
  <c r="E103" i="2"/>
  <c r="D103" i="2"/>
  <c r="C39" i="10"/>
  <c r="G192" i="1"/>
  <c r="G627" i="1" s="1"/>
  <c r="J627" i="1" s="1"/>
  <c r="C38" i="10"/>
  <c r="F192" i="1"/>
  <c r="G626" i="1" s="1"/>
  <c r="J626" i="1" s="1"/>
  <c r="L433" i="1"/>
  <c r="G637" i="1" s="1"/>
  <c r="J637" i="1" s="1"/>
  <c r="E50" i="2"/>
  <c r="I660" i="1"/>
  <c r="C27" i="10"/>
  <c r="C28" i="10" s="1"/>
  <c r="D20" i="10" s="1"/>
  <c r="G634" i="1"/>
  <c r="J634" i="1" s="1"/>
  <c r="J270" i="1"/>
  <c r="L256" i="1"/>
  <c r="L270" i="1" s="1"/>
  <c r="G631" i="1" s="1"/>
  <c r="J631" i="1" s="1"/>
  <c r="C114" i="2"/>
  <c r="C127" i="2"/>
  <c r="F659" i="1"/>
  <c r="F663" i="1" s="1"/>
  <c r="F666" i="1" s="1"/>
  <c r="C50" i="2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H671" i="1" l="1"/>
  <c r="C41" i="10"/>
  <c r="D39" i="10" s="1"/>
  <c r="C144" i="2"/>
  <c r="F671" i="1"/>
  <c r="C4" i="10" s="1"/>
  <c r="D12" i="10"/>
  <c r="D19" i="10"/>
  <c r="D16" i="10"/>
  <c r="C30" i="10"/>
  <c r="D27" i="10"/>
  <c r="D25" i="10"/>
  <c r="D15" i="10"/>
  <c r="D23" i="10"/>
  <c r="D11" i="10"/>
  <c r="D22" i="10"/>
  <c r="D17" i="10"/>
  <c r="D24" i="10"/>
  <c r="D26" i="10"/>
  <c r="D18" i="10"/>
  <c r="D13" i="10"/>
  <c r="D21" i="10"/>
  <c r="D10" i="10"/>
  <c r="G636" i="1"/>
  <c r="J636" i="1" s="1"/>
  <c r="H645" i="1"/>
  <c r="J645" i="1" s="1"/>
  <c r="D33" i="13"/>
  <c r="D36" i="13" s="1"/>
  <c r="G663" i="1"/>
  <c r="I659" i="1"/>
  <c r="I663" i="1" s="1"/>
  <c r="J625" i="1"/>
  <c r="D36" i="10" l="1"/>
  <c r="D37" i="10"/>
  <c r="D38" i="10"/>
  <c r="D40" i="10"/>
  <c r="D35" i="10"/>
  <c r="H655" i="1"/>
  <c r="D28" i="10"/>
  <c r="I666" i="1"/>
  <c r="I671" i="1"/>
  <c r="C7" i="10" s="1"/>
  <c r="G671" i="1"/>
  <c r="C5" i="10" s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<sst xmlns="http://schemas.openxmlformats.org/spreadsheetml/2006/main" count="3946" uniqueCount="913">
  <si>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</si>
  <si>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</si>
  <si>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</si>
  <si>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</si>
  <si>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</si>
  <si>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</si>
  <si>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</si>
  <si>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</si>
  <si>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</si>
  <si>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</si>
  <si>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</si>
  <si>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</si>
  <si>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</si>
  <si>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</si>
  <si>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</si>
  <si>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</si>
  <si>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</si>
  <si>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</si>
  <si>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</si>
  <si>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</si>
  <si>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</si>
  <si>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</si>
  <si>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</si>
  <si>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</si>
  <si>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</si>
  <si>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</si>
  <si>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</si>
  <si>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</si>
  <si>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</si>
  <si>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</si>
  <si>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</si>
  <si>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</si>
  <si>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</si>
  <si>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</si>
  <si>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</si>
  <si>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</si>
  <si>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</si>
  <si>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</si>
  <si>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</si>
  <si>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</si>
  <si>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</si>
  <si>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</si>
  <si>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</si>
  <si>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</si>
  <si>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</si>
  <si>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</si>
  <si>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</si>
  <si>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</si>
  <si>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</si>
  <si>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</si>
  <si>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</si>
  <si>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</si>
  <si>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</si>
  <si>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</si>
  <si>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</si>
  <si>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</si>
  <si>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</si>
  <si>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</si>
  <si>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</si>
  <si>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</si>
  <si>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</si>
  <si>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</si>
  <si>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</si>
  <si>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</si>
  <si>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</si>
  <si>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</si>
  <si>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</si>
  <si>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</si>
  <si>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</si>
  <si>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</si>
  <si>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</si>
  <si>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</si>
  <si>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</si>
  <si>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</si>
  <si>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</si>
  <si>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</si>
  <si>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</si>
  <si>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</si>
  <si>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</si>
  <si>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</si>
  <si>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</si>
  <si>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</si>
  <si>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</si>
  <si>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</si>
  <si>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</si>
  <si>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</si>
  <si>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</si>
  <si>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</si>
  <si>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</si>
  <si>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</si>
  <si>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</si>
  <si>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</si>
  <si>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</si>
  <si>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</si>
  <si>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</si>
  <si>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</si>
  <si>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</si>
  <si>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</si>
  <si>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</si>
  <si>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</si>
  <si>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</si>
  <si>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</si>
  <si>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</si>
  <si>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</si>
  <si>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</si>
  <si>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</si>
  <si>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</si>
  <si>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</si>
  <si>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</si>
  <si>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</si>
  <si>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</si>
  <si>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</si>
  <si>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</si>
  <si>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</si>
  <si>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</si>
  <si>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</si>
  <si>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</si>
  <si>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</si>
  <si>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</si>
  <si>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</si>
  <si>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</si>
  <si>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</si>
  <si>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</si>
  <si>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</si>
  <si>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</si>
  <si>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</si>
  <si>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</si>
  <si>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</si>
  <si>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</si>
  <si>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</si>
  <si>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</si>
  <si>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</si>
  <si>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</si>
  <si>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</si>
  <si>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</si>
  <si>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</si>
  <si>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</si>
  <si>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</si>
  <si>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</si>
  <si>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</si>
  <si>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</si>
  <si>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</si>
  <si>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</si>
  <si>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</si>
  <si>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</si>
  <si>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</si>
  <si>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</si>
  <si>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</si>
  <si>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</si>
  <si>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</si>
  <si>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</si>
  <si>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</si>
  <si>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</si>
  <si>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</si>
  <si>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</si>
  <si>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</si>
  <si>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</si>
  <si>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</si>
  <si>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</si>
  <si>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</si>
  <si>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</si>
  <si>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</si>
  <si>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</si>
  <si>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</si>
  <si>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</si>
  <si>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</si>
  <si>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</si>
  <si>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</si>
  <si>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</si>
  <si>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</si>
  <si>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</si>
  <si>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</si>
  <si>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</si>
  <si>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</si>
  <si>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</si>
  <si>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</si>
  <si>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</si>
  <si>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</si>
  <si>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</si>
  <si>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</si>
  <si>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</si>
  <si>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</si>
  <si>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</si>
  <si>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</si>
  <si>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</si>
  <si>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</si>
  <si>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</si>
  <si>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</si>
  <si>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</si>
  <si>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</si>
  <si>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</si>
  <si>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</si>
  <si>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</si>
  <si>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</si>
  <si>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</si>
  <si>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</si>
  <si>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</si>
  <si>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</si>
  <si>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</si>
  <si>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</si>
  <si>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</si>
  <si>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</si>
  <si>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</si>
  <si>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</si>
  <si>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</si>
  <si>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</si>
  <si>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</si>
  <si>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</si>
  <si>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</si>
  <si>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</si>
  <si>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</si>
  <si>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</si>
  <si>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</si>
  <si>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</si>
  <si>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</si>
  <si>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</si>
  <si>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</si>
  <si>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</si>
  <si>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</si>
  <si>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</si>
  <si>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</si>
  <si>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</si>
  <si>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</si>
  <si>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</si>
  <si>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</si>
  <si>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</si>
  <si>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</si>
  <si>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</si>
  <si>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</si>
  <si>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</si>
  <si>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</si>
  <si>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</si>
  <si>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</si>
  <si>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</si>
  <si>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</si>
  <si>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</si>
  <si>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</si>
  <si>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</si>
  <si>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</si>
  <si>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</si>
  <si>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</si>
  <si>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</si>
  <si>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</si>
  <si>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</si>
  <si>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</si>
  <si>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</si>
  <si>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</si>
  <si>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</si>
  <si>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</si>
  <si>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</si>
  <si>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</si>
  <si>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</si>
  <si>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</si>
  <si>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</si>
  <si>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</si>
  <si>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</si>
  <si>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</si>
  <si>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</si>
  <si>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</si>
  <si>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</si>
  <si>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</si>
  <si>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</si>
  <si>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</si>
  <si>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</si>
  <si>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</si>
  <si>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</si>
  <si>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</si>
  <si>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</si>
  <si>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</si>
  <si>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</si>
  <si>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</si>
  <si>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</si>
  <si>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</si>
  <si>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</si>
  <si>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</si>
  <si>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</si>
  <si>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</si>
  <si>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</si>
  <si>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</si>
  <si>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</si>
  <si>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</si>
  <si>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</si>
  <si>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</si>
  <si>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</si>
  <si>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</si>
  <si>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</si>
  <si>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</si>
  <si>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</si>
  <si>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</si>
  <si>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</si>
  <si>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</si>
  <si>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</si>
  <si>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</si>
  <si>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</si>
  <si>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</si>
  <si>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</si>
  <si>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</si>
  <si>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</si>
  <si>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</si>
  <si>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</si>
  <si>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</si>
  <si>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</si>
  <si>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</si>
  <si>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</si>
  <si>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</si>
  <si>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</si>
  <si>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</si>
  <si>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</si>
  <si>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</si>
  <si>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</si>
  <si>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</si>
  <si>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</si>
  <si>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</si>
  <si>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</si>
  <si>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</si>
  <si>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</si>
  <si>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</si>
  <si>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</si>
  <si>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</si>
  <si>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</si>
  <si>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</si>
  <si>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</si>
  <si>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</si>
  <si>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</si>
  <si>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</si>
  <si>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</si>
  <si>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</si>
  <si>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</si>
  <si>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</si>
  <si>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</si>
  <si>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</si>
  <si>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</si>
  <si>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</si>
  <si>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</si>
  <si>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</si>
  <si>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</si>
  <si>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</si>
  <si>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</si>
  <si>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</si>
  <si>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</si>
  <si>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</si>
  <si>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</si>
  <si>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</si>
  <si>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</si>
  <si>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</si>
  <si>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</si>
  <si>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</si>
  <si>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</si>
  <si>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</si>
  <si>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</si>
  <si>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</si>
  <si>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</si>
  <si>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</si>
  <si>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</si>
  <si>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</si>
  <si>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</si>
  <si>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</si>
  <si>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</si>
  <si>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</si>
  <si>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</si>
  <si>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</si>
  <si>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</si>
  <si>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</si>
  <si>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</si>
  <si>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</si>
  <si>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</si>
  <si>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</si>
  <si>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</si>
  <si>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</si>
  <si>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</si>
  <si>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</si>
  <si>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</si>
  <si>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</si>
  <si>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</si>
  <si>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</si>
  <si>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</si>
  <si>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</si>
  <si>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</si>
  <si>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</si>
  <si>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</si>
  <si>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</si>
  <si>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</si>
  <si>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</si>
  <si>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</si>
  <si>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</si>
  <si>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</si>
  <si>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</si>
  <si>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</si>
  <si>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</si>
  <si>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</si>
  <si>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</si>
  <si>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</si>
  <si>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</si>
  <si>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</si>
  <si>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</si>
  <si>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</si>
  <si>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</si>
  <si>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</si>
  <si>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</si>
  <si>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</si>
  <si>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</si>
  <si>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</si>
  <si>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</si>
  <si>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</si>
  <si>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</si>
  <si>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</si>
  <si>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</si>
  <si>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</si>
  <si>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</si>
  <si>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</si>
  <si>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</si>
  <si>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</si>
  <si>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</si>
  <si>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</si>
  <si>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</si>
  <si>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</si>
  <si>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</si>
  <si>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</si>
  <si>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</si>
  <si>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</si>
  <si>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</si>
  <si>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</si>
  <si>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</si>
  <si>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</si>
  <si>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</si>
  <si>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</si>
  <si>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</si>
  <si>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</si>
  <si>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</si>
  <si>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</si>
  <si>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</si>
  <si>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</si>
  <si>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</si>
  <si>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</si>
  <si>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</si>
  <si>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</si>
  <si>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</si>
  <si>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</si>
  <si>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</si>
  <si>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</si>
  <si>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</si>
  <si>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</si>
  <si>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</si>
  <si>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</si>
  <si>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</si>
  <si>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</si>
  <si>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</si>
  <si>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</si>
  <si>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</si>
  <si>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</si>
  <si>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</si>
  <si>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</si>
  <si>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</si>
  <si>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</si>
  <si>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</si>
  <si>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</si>
  <si>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</si>
  <si>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</si>
  <si>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</si>
  <si>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</si>
  <si>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</si>
  <si>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</si>
  <si>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</si>
  <si>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</si>
  <si>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</si>
  <si>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</si>
  <si>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</si>
  <si>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</si>
  <si>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</si>
  <si>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</si>
  <si>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</si>
  <si>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</si>
  <si>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</si>
  <si>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</si>
  <si>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</si>
  <si>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</si>
  <si>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</si>
  <si>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</si>
  <si>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</si>
  <si>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</si>
  <si>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</si>
  <si>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</si>
  <si>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</si>
  <si>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</si>
  <si>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</si>
  <si>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</si>
  <si>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</si>
  <si>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</si>
  <si>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</si>
  <si>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</si>
  <si>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</si>
  <si>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</si>
  <si>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</si>
  <si>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</si>
  <si>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</si>
  <si>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</si>
  <si>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</si>
  <si>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</si>
  <si>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</si>
  <si>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</si>
  <si>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</si>
  <si>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</si>
  <si>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</si>
  <si>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</si>
  <si>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</si>
  <si>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</si>
  <si>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</si>
  <si>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</si>
  <si>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</si>
  <si>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</si>
  <si>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</si>
  <si>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</si>
  <si>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</si>
  <si>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</si>
  <si>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</si>
  <si>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</si>
  <si>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</si>
  <si>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</si>
  <si>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</si>
  <si>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</si>
  <si>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</si>
  <si>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</si>
  <si>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</si>
  <si>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</si>
  <si>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</si>
  <si>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</si>
  <si>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</si>
  <si>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</si>
  <si>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</si>
  <si>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</si>
  <si>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</si>
  <si>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</si>
  <si>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</si>
  <si>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</si>
  <si>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</si>
  <si>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</si>
  <si>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</si>
  <si>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</si>
  <si>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</si>
  <si>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</si>
  <si>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</si>
  <si>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</si>
  <si>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</si>
  <si>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</si>
  <si>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</si>
  <si>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</si>
  <si>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</si>
  <si>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</si>
  <si>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</si>
  <si>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</si>
  <si>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</si>
  <si>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</si>
  <si>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</si>
  <si>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</si>
  <si>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</si>
  <si>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</si>
  <si>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</si>
  <si>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</si>
  <si>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</si>
  <si>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</si>
  <si>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</si>
  <si>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</si>
  <si>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</si>
  <si>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</si>
  <si>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</si>
  <si>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</si>
  <si>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</si>
  <si>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</si>
  <si>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</si>
  <si>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</si>
  <si>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</si>
  <si>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</si>
  <si>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</si>
  <si>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</si>
  <si>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</si>
  <si>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</si>
  <si>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</si>
  <si>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</si>
  <si>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</si>
  <si>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</si>
  <si>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</si>
  <si>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</si>
  <si>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</si>
  <si>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</si>
  <si>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</si>
  <si>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</si>
  <si>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</si>
  <si>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</si>
  <si>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</si>
  <si>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</si>
  <si>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</si>
  <si>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</si>
  <si>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</si>
  <si>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</si>
  <si>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</si>
  <si>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</si>
  <si>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</si>
  <si>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</si>
  <si>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</si>
  <si>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</si>
  <si>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</si>
  <si>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</si>
  <si>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</si>
  <si>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</si>
  <si>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</si>
  <si>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</si>
  <si>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</si>
  <si>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</si>
  <si>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</si>
  <si>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</si>
  <si>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</si>
  <si>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</si>
  <si>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</si>
  <si>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</si>
  <si>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</si>
  <si>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</si>
  <si>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</si>
  <si>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</si>
  <si>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</si>
  <si>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</si>
  <si>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</si>
  <si>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</si>
  <si>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</si>
  <si>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</si>
  <si>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</si>
  <si>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</si>
  <si>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</si>
  <si>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</si>
  <si>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</si>
  <si>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</si>
  <si>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</si>
  <si>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</si>
  <si>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</si>
  <si>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</si>
  <si>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</si>
  <si>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</si>
  <si>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</si>
  <si>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</si>
  <si>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</si>
  <si>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</si>
  <si>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</si>
  <si>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</si>
  <si>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</si>
  <si>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</si>
  <si>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</si>
  <si>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</si>
  <si>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</si>
  <si>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</si>
  <si>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</si>
  <si>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</si>
  <si>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</si>
  <si>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</si>
  <si>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</si>
  <si>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</si>
  <si>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</si>
  <si>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</si>
  <si>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</si>
  <si>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</si>
  <si>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</si>
  <si>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</si>
  <si>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</si>
  <si>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</si>
  <si>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</si>
  <si>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</si>
  <si>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</si>
  <si>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</si>
  <si>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</si>
  <si>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</si>
  <si>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</si>
  <si>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</si>
  <si>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</si>
  <si>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</si>
  <si>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</si>
  <si>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</si>
  <si>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</si>
  <si>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</si>
  <si>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</si>
  <si>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</si>
  <si>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</si>
  <si>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</si>
  <si>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</si>
  <si>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</si>
  <si>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</si>
  <si>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</si>
  <si>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</si>
  <si>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</si>
  <si>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</si>
  <si>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</si>
  <si>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</si>
  <si>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</si>
  <si>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</si>
  <si>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</si>
  <si>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</si>
  <si>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</si>
  <si>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</si>
  <si>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</si>
  <si>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</si>
  <si>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</si>
  <si>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</si>
  <si>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</si>
  <si>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</si>
  <si>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</si>
  <si>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</si>
  <si>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</si>
  <si>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</si>
  <si>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</si>
  <si>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</si>
  <si>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</si>
  <si>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</si>
  <si>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</si>
  <si>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</si>
  <si>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</si>
  <si>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</si>
  <si>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</si>
  <si>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</si>
  <si>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</si>
  <si>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</si>
  <si>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</si>
  <si>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</si>
  <si>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</si>
  <si>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</si>
  <si>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</si>
  <si>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</si>
  <si>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</si>
  <si>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</si>
  <si>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</si>
  <si>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</si>
  <si>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</si>
  <si>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</si>
  <si>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</si>
  <si>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</si>
  <si>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</si>
  <si>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</si>
  <si>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</si>
  <si>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</si>
  <si>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</si>
  <si>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</si>
  <si>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</si>
  <si>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</si>
  <si>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</si>
  <si>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</si>
  <si>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</si>
  <si>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</si>
  <si>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</si>
  <si>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</si>
  <si>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</si>
  <si>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</si>
  <si>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</si>
  <si>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</si>
  <si>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</si>
  <si>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</si>
  <si>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</si>
  <si>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</si>
  <si>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</si>
  <si>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</si>
  <si>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</si>
  <si>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</si>
  <si>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</si>
  <si>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</si>
  <si>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</si>
  <si>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</si>
  <si>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</si>
  <si>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</si>
  <si>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</si>
  <si>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</si>
  <si>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</si>
  <si>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</si>
  <si>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</si>
  <si>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</si>
  <si>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</si>
  <si>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</si>
  <si>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</si>
  <si>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</si>
  <si>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</si>
  <si>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</si>
  <si>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</si>
  <si>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</si>
  <si>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</si>
  <si>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</si>
  <si>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</si>
  <si>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</si>
  <si>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</si>
  <si>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</si>
  <si>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</si>
  <si>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</si>
  <si>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</si>
  <si>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</si>
  <si>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</si>
  <si>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</si>
  <si>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</si>
  <si>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</si>
  <si>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</si>
  <si>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</si>
  <si>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</si>
  <si>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</si>
  <si>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</si>
  <si>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</si>
  <si>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</si>
  <si>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</si>
  <si>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</si>
  <si>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</si>
  <si>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</si>
  <si>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</si>
  <si>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</si>
  <si>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</si>
  <si>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</si>
  <si>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</si>
  <si>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</si>
  <si>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</si>
  <si>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</si>
  <si>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</si>
  <si>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</si>
  <si>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</si>
  <si>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</si>
  <si>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</si>
  <si>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</si>
  <si>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</si>
  <si>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</si>
  <si>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</si>
  <si>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</si>
  <si>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</si>
  <si>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</si>
  <si>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</si>
  <si>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</si>
  <si>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</si>
  <si>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</si>
  <si>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</si>
  <si>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</si>
  <si>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</si>
  <si>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</si>
  <si>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</si>
  <si>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</si>
  <si>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</si>
  <si>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</si>
  <si>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</si>
  <si>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</si>
  <si>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</si>
  <si>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</si>
  <si>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</si>
  <si>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</si>
  <si>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</si>
  <si>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</si>
  <si>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</si>
  <si>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</si>
  <si>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</si>
  <si>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</si>
  <si>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</si>
  <si>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</si>
  <si>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</si>
  <si>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</si>
  <si>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</si>
  <si>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</si>
  <si>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</si>
  <si>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</si>
  <si>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</si>
  <si>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</si>
  <si>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</si>
  <si>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</si>
  <si>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</si>
  <si>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</si>
  <si>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</si>
  <si>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</si>
  <si>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</si>
  <si>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</si>
  <si>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</si>
  <si>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</si>
  <si>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</si>
  <si>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</si>
  <si>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</si>
  <si>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</si>
  <si>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</si>
  <si>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</si>
  <si>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</si>
  <si>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</si>
  <si>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</si>
  <si>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</si>
  <si>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</si>
  <si>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</si>
  <si>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</si>
  <si>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</si>
  <si>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</si>
  <si>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</si>
  <si>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</si>
  <si>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</si>
  <si>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</si>
  <si>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</si>
  <si>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</si>
  <si>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</si>
  <si>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</si>
  <si>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</si>
  <si>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</si>
  <si>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</si>
  <si>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</si>
  <si>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</si>
  <si>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</si>
  <si>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</si>
  <si>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</si>
  <si>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</si>
  <si>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</si>
  <si>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</si>
  <si>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</si>
  <si>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</si>
  <si>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</si>
  <si>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</si>
  <si>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</si>
  <si>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</si>
  <si>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</si>
  <si>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</si>
  <si>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</si>
  <si>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WEARE SCHOOL DISTRICT</t>
  </si>
  <si>
    <t>PAYABLES NOT PAID</t>
  </si>
  <si>
    <t>6/23/05</t>
  </si>
  <si>
    <t>8/1/25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</si>
</sst>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48" sqref="F48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555</v>
      </c>
      <c r="C2" s="21">
        <v>555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286888.06</v>
      </c>
      <c r="G9" s="18">
        <v>37579.480000000003</v>
      </c>
      <c r="H9" s="18">
        <v>-90226.15</v>
      </c>
      <c r="I9" s="18">
        <v>0</v>
      </c>
      <c r="J9" s="67">
        <f>SUM(I438)</f>
        <v>327043.37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1223.6199999999999</v>
      </c>
      <c r="H12" s="18">
        <v>0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20586.38</v>
      </c>
      <c r="H13" s="18">
        <v>93856.16</v>
      </c>
      <c r="I13" s="18">
        <v>0</v>
      </c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2199.21</v>
      </c>
      <c r="G14" s="18">
        <v>0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289087.27</v>
      </c>
      <c r="G19" s="41">
        <f>SUM(G9:G18)</f>
        <v>59389.48000000001</v>
      </c>
      <c r="H19" s="41">
        <f>SUM(H9:H18)</f>
        <v>3630.0100000000093</v>
      </c>
      <c r="I19" s="41">
        <f>SUM(I9:I18)</f>
        <v>0</v>
      </c>
      <c r="J19" s="41">
        <f>SUM(J9:J18)</f>
        <v>327043.37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1223.6199999999999</v>
      </c>
      <c r="G22" s="18">
        <v>0</v>
      </c>
      <c r="H22" s="18">
        <v>0</v>
      </c>
      <c r="I22" s="18">
        <v>0</v>
      </c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59.57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10308.120000000001</v>
      </c>
      <c r="G24" s="18">
        <v>5984.92</v>
      </c>
      <c r="H24" s="18">
        <v>0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60000</v>
      </c>
      <c r="G25" s="10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18334.060000000001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89865.8</v>
      </c>
      <c r="G32" s="41">
        <f>SUM(G22:G31)</f>
        <v>5984.92</v>
      </c>
      <c r="H32" s="41">
        <f>SUM(H22:H31)</f>
        <v>59.57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>
        <v>0</v>
      </c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0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53404.56</v>
      </c>
      <c r="H47" s="18">
        <v>3570.44</v>
      </c>
      <c r="I47" s="18">
        <v>0</v>
      </c>
      <c r="J47" s="13">
        <f>SUM(I458)</f>
        <v>327043.37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99221.47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199221.47</v>
      </c>
      <c r="G50" s="41">
        <f>SUM(G35:G49)</f>
        <v>53404.56</v>
      </c>
      <c r="H50" s="41">
        <f>SUM(H35:H49)</f>
        <v>3570.44</v>
      </c>
      <c r="I50" s="41">
        <f>SUM(I35:I49)</f>
        <v>0</v>
      </c>
      <c r="J50" s="41">
        <f>SUM(J35:J49)</f>
        <v>327043.37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289087.27</v>
      </c>
      <c r="G51" s="41">
        <f>G50+G32</f>
        <v>59389.479999999996</v>
      </c>
      <c r="H51" s="41">
        <f>H50+H32</f>
        <v>3630.01</v>
      </c>
      <c r="I51" s="41">
        <f>I50+I32</f>
        <v>0</v>
      </c>
      <c r="J51" s="41">
        <f>J50+J32</f>
        <v>327043.37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5768654</v>
      </c>
      <c r="G56" s="18">
        <v>30000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5768654</v>
      </c>
      <c r="G59" s="41">
        <f>SUM(G56:G58)</f>
        <v>30000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19665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875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34856.53</v>
      </c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20540</v>
      </c>
      <c r="G78" s="45" t="s">
        <v>289</v>
      </c>
      <c r="H78" s="41">
        <f>SUM(H62:H77)</f>
        <v>34856.53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55834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55834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412.32</v>
      </c>
      <c r="G95" s="18">
        <v>0</v>
      </c>
      <c r="H95" s="18">
        <v>0</v>
      </c>
      <c r="I95" s="18">
        <v>0</v>
      </c>
      <c r="J95" s="18">
        <v>122.93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238497.09-1223.62</f>
        <v>237273.47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30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299.89</v>
      </c>
      <c r="G101" s="18">
        <v>0</v>
      </c>
      <c r="H101" s="18">
        <v>0</v>
      </c>
      <c r="I101" s="18">
        <v>0</v>
      </c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4710.45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6686.49</v>
      </c>
      <c r="G109" s="18">
        <v>0</v>
      </c>
      <c r="H109" s="18">
        <v>0</v>
      </c>
      <c r="I109" s="18">
        <v>0</v>
      </c>
      <c r="J109" s="18">
        <v>0</v>
      </c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12139.15</v>
      </c>
      <c r="G110" s="41">
        <f>SUM(G95:G109)</f>
        <v>237273.47</v>
      </c>
      <c r="H110" s="41">
        <f>SUM(H95:H109)</f>
        <v>0</v>
      </c>
      <c r="I110" s="41">
        <f>SUM(I95:I109)</f>
        <v>0</v>
      </c>
      <c r="J110" s="41">
        <f>SUM(J95:J109)</f>
        <v>122.93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5857167.1500000004</v>
      </c>
      <c r="G111" s="41">
        <f>G59+G110</f>
        <v>267273.46999999997</v>
      </c>
      <c r="H111" s="41">
        <f>H59+H78+H93+H110</f>
        <v>34856.53</v>
      </c>
      <c r="I111" s="41">
        <f>I59+I110</f>
        <v>0</v>
      </c>
      <c r="J111" s="41">
        <f>J59+J110</f>
        <v>122.93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4950751.5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1136319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4289.5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9155.61</v>
      </c>
      <c r="G119" s="18">
        <v>0</v>
      </c>
      <c r="H119" s="18">
        <v>0</v>
      </c>
      <c r="I119" s="18">
        <v>0</v>
      </c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6100515.6100000003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385686.4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4538.1000000000004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385686.4</v>
      </c>
      <c r="G135" s="41">
        <f>SUM(G122:G134)</f>
        <v>4538.1000000000004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6486202.0100000007</v>
      </c>
      <c r="G139" s="41">
        <f>G120+SUM(G135:G136)</f>
        <v>4538.1000000000004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93753.56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66861.84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102582.55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694.94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99362.02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0</v>
      </c>
      <c r="H160" s="18">
        <v>139957.35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99362.02</v>
      </c>
      <c r="G161" s="41">
        <f>SUM(G149:G160)</f>
        <v>102582.55</v>
      </c>
      <c r="H161" s="41">
        <f>SUM(H149:H160)</f>
        <v>301267.69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0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99362.02</v>
      </c>
      <c r="G168" s="41">
        <f>G146+G161+SUM(G162:G167)</f>
        <v>102582.55</v>
      </c>
      <c r="H168" s="41">
        <f>H146+H161+SUM(H162:H167)</f>
        <v>301267.69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1223.6199999999999</v>
      </c>
      <c r="H178" s="18">
        <v>0</v>
      </c>
      <c r="I178" s="18">
        <v>0</v>
      </c>
      <c r="J178" s="18">
        <v>75000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1223.6199999999999</v>
      </c>
      <c r="H182" s="41">
        <f>SUM(H178:H181)</f>
        <v>0</v>
      </c>
      <c r="I182" s="41">
        <f>SUM(I178:I181)</f>
        <v>0</v>
      </c>
      <c r="J182" s="41">
        <f>SUM(J178:J181)</f>
        <v>75000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1223.6199999999999</v>
      </c>
      <c r="H191" s="41">
        <f>+H182+SUM(H187:H190)</f>
        <v>0</v>
      </c>
      <c r="I191" s="41">
        <f>I176+I182+SUM(I187:I190)</f>
        <v>0</v>
      </c>
      <c r="J191" s="41">
        <f>J182</f>
        <v>75000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12442731.18</v>
      </c>
      <c r="G192" s="47">
        <f>G111+G139+G168+G191</f>
        <v>375617.73999999993</v>
      </c>
      <c r="H192" s="47">
        <f>H111+H139+H168+H191</f>
        <v>336124.22</v>
      </c>
      <c r="I192" s="47">
        <f>I111+I139+I168+I191</f>
        <v>0</v>
      </c>
      <c r="J192" s="47">
        <f>J111+J139+J191</f>
        <v>75122.929999999993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1424810.33</v>
      </c>
      <c r="G196" s="18">
        <v>729876.09</v>
      </c>
      <c r="H196" s="18">
        <v>8519.2999999999993</v>
      </c>
      <c r="I196" s="18">
        <v>47651.01</v>
      </c>
      <c r="J196" s="18">
        <v>14276.27</v>
      </c>
      <c r="K196" s="18">
        <v>60</v>
      </c>
      <c r="L196" s="19">
        <f>SUM(F196:K196)</f>
        <v>2225192.9999999995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659287.03</v>
      </c>
      <c r="G197" s="18">
        <v>185686.33</v>
      </c>
      <c r="H197" s="18">
        <v>108097.83</v>
      </c>
      <c r="I197" s="18">
        <v>5117.53</v>
      </c>
      <c r="J197" s="18">
        <v>361.9</v>
      </c>
      <c r="K197" s="18">
        <v>5588.83</v>
      </c>
      <c r="L197" s="19">
        <f>SUM(F197:K197)</f>
        <v>964139.45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16884.560000000001</v>
      </c>
      <c r="G199" s="18">
        <v>2859.76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19744.32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315342.3</v>
      </c>
      <c r="G201" s="18">
        <v>142452.82999999999</v>
      </c>
      <c r="H201" s="18">
        <v>862.66</v>
      </c>
      <c r="I201" s="18">
        <v>3815.3</v>
      </c>
      <c r="J201" s="18">
        <v>284.77999999999997</v>
      </c>
      <c r="K201" s="18">
        <v>0</v>
      </c>
      <c r="L201" s="19">
        <f t="shared" ref="L201:L207" si="0">SUM(F201:K201)</f>
        <v>462757.87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91664.62</v>
      </c>
      <c r="G202" s="18">
        <v>22963.03</v>
      </c>
      <c r="H202" s="18">
        <v>25520.63</v>
      </c>
      <c r="I202" s="18">
        <v>17816.05</v>
      </c>
      <c r="J202" s="18">
        <v>20140.89</v>
      </c>
      <c r="K202" s="18">
        <v>2430</v>
      </c>
      <c r="L202" s="19">
        <f t="shared" si="0"/>
        <v>180535.21999999997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3000</v>
      </c>
      <c r="G203" s="18">
        <v>19751</v>
      </c>
      <c r="H203" s="18">
        <v>260409.82</v>
      </c>
      <c r="I203" s="18">
        <v>3190.41</v>
      </c>
      <c r="J203" s="18">
        <v>0</v>
      </c>
      <c r="K203" s="18">
        <v>2452.65</v>
      </c>
      <c r="L203" s="19">
        <f t="shared" si="0"/>
        <v>288803.88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252347.32</v>
      </c>
      <c r="G204" s="18">
        <v>124845.22</v>
      </c>
      <c r="H204" s="18">
        <v>13315.84</v>
      </c>
      <c r="I204" s="18">
        <v>1895.92</v>
      </c>
      <c r="J204" s="18">
        <v>0</v>
      </c>
      <c r="K204" s="18">
        <v>0</v>
      </c>
      <c r="L204" s="19">
        <f t="shared" si="0"/>
        <v>392404.30000000005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162618.57</v>
      </c>
      <c r="G206" s="18">
        <v>83015.63</v>
      </c>
      <c r="H206" s="18">
        <v>141843.32</v>
      </c>
      <c r="I206" s="18">
        <v>117162.76</v>
      </c>
      <c r="J206" s="18">
        <v>65194.78</v>
      </c>
      <c r="K206" s="18">
        <v>0</v>
      </c>
      <c r="L206" s="19">
        <f t="shared" si="0"/>
        <v>569835.06000000006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426207.78</v>
      </c>
      <c r="I207" s="18">
        <v>0</v>
      </c>
      <c r="J207" s="18">
        <v>0</v>
      </c>
      <c r="K207" s="18">
        <v>0</v>
      </c>
      <c r="L207" s="19">
        <f t="shared" si="0"/>
        <v>426207.78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2925954.7299999995</v>
      </c>
      <c r="G210" s="41">
        <f t="shared" si="1"/>
        <v>1311449.8900000001</v>
      </c>
      <c r="H210" s="41">
        <f t="shared" si="1"/>
        <v>984777.18</v>
      </c>
      <c r="I210" s="41">
        <f t="shared" si="1"/>
        <v>196648.97999999998</v>
      </c>
      <c r="J210" s="41">
        <f t="shared" si="1"/>
        <v>100258.62</v>
      </c>
      <c r="K210" s="41">
        <f t="shared" si="1"/>
        <v>10531.48</v>
      </c>
      <c r="L210" s="41">
        <f t="shared" si="1"/>
        <v>5529620.8799999999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1292429.03</v>
      </c>
      <c r="G214" s="18">
        <v>652892.02</v>
      </c>
      <c r="H214" s="18">
        <v>7309.79</v>
      </c>
      <c r="I214" s="18">
        <v>85749.54</v>
      </c>
      <c r="J214" s="18">
        <v>44283.42</v>
      </c>
      <c r="K214" s="18">
        <v>110</v>
      </c>
      <c r="L214" s="19">
        <f>SUM(F214:K214)</f>
        <v>2082773.8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747674.65</v>
      </c>
      <c r="G215" s="18">
        <v>187973.39</v>
      </c>
      <c r="H215" s="18">
        <v>171857.91</v>
      </c>
      <c r="I215" s="18">
        <v>9507.82</v>
      </c>
      <c r="J215" s="18">
        <v>2740.14</v>
      </c>
      <c r="K215" s="18">
        <v>6682.63</v>
      </c>
      <c r="L215" s="19">
        <f>SUM(F215:K215)</f>
        <v>1126436.5399999998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39584.879999999997</v>
      </c>
      <c r="G217" s="18">
        <v>6152.43</v>
      </c>
      <c r="H217" s="18">
        <v>0</v>
      </c>
      <c r="I217" s="18">
        <v>3212.91</v>
      </c>
      <c r="J217" s="18">
        <v>0</v>
      </c>
      <c r="K217" s="18">
        <v>3155</v>
      </c>
      <c r="L217" s="19">
        <f>SUM(F217:K217)</f>
        <v>52105.22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198819</v>
      </c>
      <c r="G219" s="18">
        <v>92019.96</v>
      </c>
      <c r="H219" s="18">
        <v>40328</v>
      </c>
      <c r="I219" s="18">
        <v>2910.83</v>
      </c>
      <c r="J219" s="18">
        <v>0</v>
      </c>
      <c r="K219" s="18">
        <v>430</v>
      </c>
      <c r="L219" s="19">
        <f t="shared" ref="L219:L225" si="2">SUM(F219:K219)</f>
        <v>334507.79000000004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89667.32</v>
      </c>
      <c r="G220" s="18">
        <v>37411.42</v>
      </c>
      <c r="H220" s="18">
        <v>21621.22</v>
      </c>
      <c r="I220" s="18">
        <v>29892.22</v>
      </c>
      <c r="J220" s="18">
        <v>19094.5</v>
      </c>
      <c r="K220" s="18">
        <v>2430</v>
      </c>
      <c r="L220" s="19">
        <f t="shared" si="2"/>
        <v>200116.68000000002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3000</v>
      </c>
      <c r="G221" s="18">
        <v>19751</v>
      </c>
      <c r="H221" s="18">
        <v>260197.23</v>
      </c>
      <c r="I221" s="18">
        <v>3158.62</v>
      </c>
      <c r="J221" s="18">
        <v>0</v>
      </c>
      <c r="K221" s="18">
        <v>2411.3200000000002</v>
      </c>
      <c r="L221" s="19">
        <f t="shared" si="2"/>
        <v>288518.17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258159.43</v>
      </c>
      <c r="G222" s="18">
        <v>75913.490000000005</v>
      </c>
      <c r="H222" s="18">
        <v>6317.39</v>
      </c>
      <c r="I222" s="18">
        <v>1411.73</v>
      </c>
      <c r="J222" s="18">
        <v>0</v>
      </c>
      <c r="K222" s="18">
        <v>1832.77</v>
      </c>
      <c r="L222" s="19">
        <f t="shared" si="2"/>
        <v>343634.81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211678.07999999999</v>
      </c>
      <c r="G224" s="18">
        <v>92882.25</v>
      </c>
      <c r="H224" s="18">
        <v>161524.45000000001</v>
      </c>
      <c r="I224" s="18">
        <v>185839.18</v>
      </c>
      <c r="J224" s="18">
        <v>1066.55</v>
      </c>
      <c r="K224" s="18">
        <v>0</v>
      </c>
      <c r="L224" s="19">
        <f t="shared" si="2"/>
        <v>652990.51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283950.88</v>
      </c>
      <c r="I225" s="18">
        <v>0</v>
      </c>
      <c r="J225" s="18">
        <v>0</v>
      </c>
      <c r="K225" s="18">
        <v>0</v>
      </c>
      <c r="L225" s="19">
        <f t="shared" si="2"/>
        <v>283950.88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2841012.39</v>
      </c>
      <c r="G228" s="41">
        <f>SUM(G214:G227)</f>
        <v>1164995.9600000002</v>
      </c>
      <c r="H228" s="41">
        <f>SUM(H214:H227)</f>
        <v>953106.87</v>
      </c>
      <c r="I228" s="41">
        <f>SUM(I214:I227)</f>
        <v>321682.84999999998</v>
      </c>
      <c r="J228" s="41">
        <f>SUM(J214:J227)</f>
        <v>67184.61</v>
      </c>
      <c r="K228" s="41">
        <f t="shared" si="3"/>
        <v>17051.72</v>
      </c>
      <c r="L228" s="41">
        <f t="shared" si="3"/>
        <v>5365034.3999999994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5766967.1199999992</v>
      </c>
      <c r="G256" s="41">
        <f t="shared" si="8"/>
        <v>2476445.8500000006</v>
      </c>
      <c r="H256" s="41">
        <f t="shared" si="8"/>
        <v>1937884.05</v>
      </c>
      <c r="I256" s="41">
        <f t="shared" si="8"/>
        <v>518331.82999999996</v>
      </c>
      <c r="J256" s="41">
        <f t="shared" si="8"/>
        <v>167443.22999999998</v>
      </c>
      <c r="K256" s="41">
        <f t="shared" si="8"/>
        <v>27583.200000000001</v>
      </c>
      <c r="L256" s="41">
        <f t="shared" si="8"/>
        <v>10894655.279999999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900000</v>
      </c>
      <c r="L259" s="19">
        <f>SUM(F259:K259)</f>
        <v>900000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523125</v>
      </c>
      <c r="L260" s="19">
        <f>SUM(F260:K260)</f>
        <v>523125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1223.6199999999999</v>
      </c>
      <c r="L262" s="19">
        <f>SUM(F262:K262)</f>
        <v>1223.6199999999999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75000</v>
      </c>
      <c r="L265" s="19">
        <f t="shared" si="9"/>
        <v>75000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1499348.62</v>
      </c>
      <c r="L269" s="41">
        <f t="shared" si="9"/>
        <v>1499348.62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5766967.1199999992</v>
      </c>
      <c r="G270" s="42">
        <f t="shared" si="11"/>
        <v>2476445.8500000006</v>
      </c>
      <c r="H270" s="42">
        <f t="shared" si="11"/>
        <v>1937884.05</v>
      </c>
      <c r="I270" s="42">
        <f t="shared" si="11"/>
        <v>518331.82999999996</v>
      </c>
      <c r="J270" s="42">
        <f t="shared" si="11"/>
        <v>167443.22999999998</v>
      </c>
      <c r="K270" s="42">
        <f t="shared" si="11"/>
        <v>1526931.82</v>
      </c>
      <c r="L270" s="42">
        <f t="shared" si="11"/>
        <v>12394003.899999999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139957.35</v>
      </c>
      <c r="G275" s="18">
        <v>0</v>
      </c>
      <c r="H275" s="18">
        <v>0</v>
      </c>
      <c r="I275" s="18">
        <v>0</v>
      </c>
      <c r="J275" s="18">
        <v>0</v>
      </c>
      <c r="K275" s="18">
        <v>0</v>
      </c>
      <c r="L275" s="19">
        <f>SUM(F275:K275)</f>
        <v>139957.35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0</v>
      </c>
      <c r="G276" s="18">
        <v>0</v>
      </c>
      <c r="H276" s="18">
        <v>0</v>
      </c>
      <c r="I276" s="18">
        <v>694.94</v>
      </c>
      <c r="J276" s="18">
        <v>0</v>
      </c>
      <c r="K276" s="18">
        <v>0</v>
      </c>
      <c r="L276" s="19">
        <f>SUM(F276:K276)</f>
        <v>694.94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14883</v>
      </c>
      <c r="G281" s="18">
        <v>2665.88</v>
      </c>
      <c r="H281" s="18">
        <v>17309.400000000001</v>
      </c>
      <c r="I281" s="18">
        <v>275</v>
      </c>
      <c r="J281" s="18">
        <v>0</v>
      </c>
      <c r="K281" s="18">
        <v>0</v>
      </c>
      <c r="L281" s="19">
        <f t="shared" si="12"/>
        <v>35133.279999999999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1574.5</v>
      </c>
      <c r="L282" s="19">
        <f t="shared" si="12"/>
        <v>1574.5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154840.35</v>
      </c>
      <c r="G289" s="42">
        <f t="shared" si="13"/>
        <v>2665.88</v>
      </c>
      <c r="H289" s="42">
        <f t="shared" si="13"/>
        <v>17309.400000000001</v>
      </c>
      <c r="I289" s="42">
        <f t="shared" si="13"/>
        <v>969.94</v>
      </c>
      <c r="J289" s="42">
        <f t="shared" si="13"/>
        <v>0</v>
      </c>
      <c r="K289" s="42">
        <f t="shared" si="13"/>
        <v>1574.5</v>
      </c>
      <c r="L289" s="41">
        <f t="shared" si="13"/>
        <v>177360.07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35132.300000000003</v>
      </c>
      <c r="G297" s="18">
        <v>2686.55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37818.850000000006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9532</v>
      </c>
      <c r="G300" s="18">
        <v>1430.01</v>
      </c>
      <c r="H300" s="18">
        <v>19329.34</v>
      </c>
      <c r="I300" s="18">
        <v>25</v>
      </c>
      <c r="J300" s="18">
        <v>0</v>
      </c>
      <c r="K300" s="18">
        <v>0</v>
      </c>
      <c r="L300" s="19">
        <f t="shared" si="14"/>
        <v>30316.35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83.66</v>
      </c>
      <c r="L301" s="19">
        <f t="shared" si="14"/>
        <v>83.66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/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44664.3</v>
      </c>
      <c r="G308" s="42">
        <f t="shared" si="15"/>
        <v>4116.5600000000004</v>
      </c>
      <c r="H308" s="42">
        <f t="shared" si="15"/>
        <v>19329.34</v>
      </c>
      <c r="I308" s="42">
        <f t="shared" si="15"/>
        <v>25</v>
      </c>
      <c r="J308" s="42">
        <f t="shared" si="15"/>
        <v>0</v>
      </c>
      <c r="K308" s="42">
        <f t="shared" si="15"/>
        <v>83.66</v>
      </c>
      <c r="L308" s="41">
        <f t="shared" si="15"/>
        <v>68218.860000000015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>
        <v>0</v>
      </c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199504.65000000002</v>
      </c>
      <c r="G337" s="41">
        <f t="shared" si="20"/>
        <v>6782.4400000000005</v>
      </c>
      <c r="H337" s="41">
        <f t="shared" si="20"/>
        <v>36638.740000000005</v>
      </c>
      <c r="I337" s="41">
        <f t="shared" si="20"/>
        <v>994.94</v>
      </c>
      <c r="J337" s="41">
        <f t="shared" si="20"/>
        <v>0</v>
      </c>
      <c r="K337" s="41">
        <f t="shared" si="20"/>
        <v>1658.16</v>
      </c>
      <c r="L337" s="41">
        <f t="shared" si="20"/>
        <v>245578.93000000002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93507.61</v>
      </c>
      <c r="L349" s="19">
        <f t="shared" si="21"/>
        <v>93507.61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93507.61</v>
      </c>
      <c r="L350" s="41">
        <f>SUM(L340:L349)</f>
        <v>93507.61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199504.65000000002</v>
      </c>
      <c r="G351" s="41">
        <f>G337</f>
        <v>6782.4400000000005</v>
      </c>
      <c r="H351" s="41">
        <f>H337</f>
        <v>36638.740000000005</v>
      </c>
      <c r="I351" s="41">
        <f>I337</f>
        <v>994.94</v>
      </c>
      <c r="J351" s="41">
        <f>J337</f>
        <v>0</v>
      </c>
      <c r="K351" s="47">
        <f>K337+K350</f>
        <v>95165.77</v>
      </c>
      <c r="L351" s="41">
        <f>L337+L350</f>
        <v>339086.54000000004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0</v>
      </c>
      <c r="G357" s="18">
        <v>0</v>
      </c>
      <c r="H357" s="18">
        <f>175898.38-1686.54</f>
        <v>174211.84</v>
      </c>
      <c r="I357" s="18">
        <v>0</v>
      </c>
      <c r="J357" s="18">
        <v>0</v>
      </c>
      <c r="K357" s="18">
        <f>4135.43</f>
        <v>4135.43</v>
      </c>
      <c r="L357" s="13">
        <f>SUM(F357:K357)</f>
        <v>178347.27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0</v>
      </c>
      <c r="G358" s="18">
        <v>0</v>
      </c>
      <c r="H358" s="18">
        <f>174749.7-3247.79</f>
        <v>171501.91</v>
      </c>
      <c r="I358" s="18">
        <v>0</v>
      </c>
      <c r="J358" s="18">
        <v>0</v>
      </c>
      <c r="K358" s="18">
        <f>2023.59</f>
        <v>2023.59</v>
      </c>
      <c r="L358" s="19">
        <f>SUM(F358:K358)</f>
        <v>173525.5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345713.75</v>
      </c>
      <c r="I361" s="47">
        <f t="shared" si="22"/>
        <v>0</v>
      </c>
      <c r="J361" s="47">
        <f t="shared" si="22"/>
        <v>0</v>
      </c>
      <c r="K361" s="47">
        <f t="shared" si="22"/>
        <v>6159.02</v>
      </c>
      <c r="L361" s="47">
        <f t="shared" si="22"/>
        <v>351872.77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0</v>
      </c>
      <c r="G366" s="18">
        <v>0</v>
      </c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0</v>
      </c>
      <c r="G367" s="63">
        <v>0</v>
      </c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24.1</v>
      </c>
      <c r="I388" s="18"/>
      <c r="J388" s="24" t="s">
        <v>289</v>
      </c>
      <c r="K388" s="24" t="s">
        <v>289</v>
      </c>
      <c r="L388" s="56">
        <f t="shared" si="25"/>
        <v>24.1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24.1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24.1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75000</v>
      </c>
      <c r="H395" s="18">
        <v>42.65</v>
      </c>
      <c r="I395" s="18"/>
      <c r="J395" s="24" t="s">
        <v>289</v>
      </c>
      <c r="K395" s="24" t="s">
        <v>289</v>
      </c>
      <c r="L395" s="56">
        <f t="shared" si="26"/>
        <v>75042.649999999994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10.73</v>
      </c>
      <c r="I396" s="18"/>
      <c r="J396" s="24" t="s">
        <v>289</v>
      </c>
      <c r="K396" s="24" t="s">
        <v>289</v>
      </c>
      <c r="L396" s="56">
        <f t="shared" si="26"/>
        <v>10.73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45.45</v>
      </c>
      <c r="I399" s="18"/>
      <c r="J399" s="24" t="s">
        <v>289</v>
      </c>
      <c r="K399" s="24" t="s">
        <v>289</v>
      </c>
      <c r="L399" s="56">
        <f t="shared" si="26"/>
        <v>45.45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75000</v>
      </c>
      <c r="H400" s="47">
        <f>SUM(H394:H399)</f>
        <v>98.83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75098.829999999987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75000</v>
      </c>
      <c r="H407" s="47">
        <f>H392+H400+H406</f>
        <v>122.93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75122.929999999993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>
        <v>0</v>
      </c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327043.37</v>
      </c>
      <c r="H438" s="18"/>
      <c r="I438" s="56">
        <f t="shared" ref="I438:I444" si="33">SUM(F438:H438)</f>
        <v>327043.37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327043.37</v>
      </c>
      <c r="H445" s="13">
        <f>SUM(H438:H444)</f>
        <v>0</v>
      </c>
      <c r="I445" s="13">
        <f>SUM(I438:I444)</f>
        <v>327043.37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>
        <v>0</v>
      </c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327043.37</v>
      </c>
      <c r="H458" s="18"/>
      <c r="I458" s="56">
        <f t="shared" si="34"/>
        <v>327043.37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327043.37</v>
      </c>
      <c r="H459" s="83">
        <f>SUM(H453:H458)</f>
        <v>0</v>
      </c>
      <c r="I459" s="83">
        <f>SUM(I453:I458)</f>
        <v>327043.37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327043.37</v>
      </c>
      <c r="H460" s="42">
        <f>H451+H459</f>
        <v>0</v>
      </c>
      <c r="I460" s="42">
        <f>I451+I459</f>
        <v>327043.37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144384.12</v>
      </c>
      <c r="G464" s="18">
        <v>29659.59</v>
      </c>
      <c r="H464" s="18">
        <v>6532.76</v>
      </c>
      <c r="I464" s="18"/>
      <c r="J464" s="18">
        <v>251920.44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12442731.18</v>
      </c>
      <c r="G467" s="18">
        <v>375617.74</v>
      </c>
      <c r="H467" s="18">
        <v>336124.22</v>
      </c>
      <c r="I467" s="18">
        <v>0</v>
      </c>
      <c r="J467" s="18">
        <v>75122.929999999993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6110.07</v>
      </c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12448841.25</v>
      </c>
      <c r="G469" s="53">
        <f>SUM(G467:G468)</f>
        <v>375617.74</v>
      </c>
      <c r="H469" s="53">
        <f>SUM(H467:H468)</f>
        <v>336124.22</v>
      </c>
      <c r="I469" s="53">
        <f>SUM(I467:I468)</f>
        <v>0</v>
      </c>
      <c r="J469" s="53">
        <f>SUM(J467:J468)</f>
        <v>75122.929999999993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12394003.9</v>
      </c>
      <c r="G471" s="18">
        <v>351872.77</v>
      </c>
      <c r="H471" s="18">
        <v>339086.54</v>
      </c>
      <c r="I471" s="18">
        <v>0</v>
      </c>
      <c r="J471" s="18">
        <v>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12394003.9</v>
      </c>
      <c r="G473" s="53">
        <f>SUM(G471:G472)</f>
        <v>351872.77</v>
      </c>
      <c r="H473" s="53">
        <f>SUM(H471:H472)</f>
        <v>339086.54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199221.46999999881</v>
      </c>
      <c r="G475" s="53">
        <f>(G464+G469)- G473</f>
        <v>53404.56</v>
      </c>
      <c r="H475" s="53">
        <f>(H464+H469)- H473</f>
        <v>3570.4400000000023</v>
      </c>
      <c r="I475" s="53">
        <f>(I464+I469)- I473</f>
        <v>0</v>
      </c>
      <c r="J475" s="53">
        <f>(J464+J469)- J473</f>
        <v>327043.37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 t="s">
        <v>910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911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18000000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3.5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13500000</v>
      </c>
      <c r="G494" s="18"/>
      <c r="H494" s="18"/>
      <c r="I494" s="18"/>
      <c r="J494" s="18"/>
      <c r="K494" s="53">
        <f>SUM(F494:J494)</f>
        <v>13500000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900000</v>
      </c>
      <c r="G496" s="18"/>
      <c r="H496" s="18"/>
      <c r="I496" s="18"/>
      <c r="J496" s="18"/>
      <c r="K496" s="53">
        <f t="shared" si="35"/>
        <v>900000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SUM(F494-F496)</f>
        <v>12600000</v>
      </c>
      <c r="G497" s="205"/>
      <c r="H497" s="205"/>
      <c r="I497" s="205"/>
      <c r="J497" s="205"/>
      <c r="K497" s="206">
        <f t="shared" si="35"/>
        <v>12600000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3585375</v>
      </c>
      <c r="G498" s="18"/>
      <c r="H498" s="18"/>
      <c r="I498" s="18"/>
      <c r="J498" s="18"/>
      <c r="K498" s="53">
        <f t="shared" si="35"/>
        <v>3585375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16185375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16185375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900000</v>
      </c>
      <c r="G500" s="205"/>
      <c r="H500" s="205"/>
      <c r="I500" s="205"/>
      <c r="J500" s="205"/>
      <c r="K500" s="206">
        <f t="shared" si="35"/>
        <v>900000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489375</v>
      </c>
      <c r="G501" s="18"/>
      <c r="H501" s="18"/>
      <c r="I501" s="18"/>
      <c r="J501" s="18"/>
      <c r="K501" s="53">
        <f t="shared" si="35"/>
        <v>489375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1389375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1389375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659287.03</v>
      </c>
      <c r="G520" s="18">
        <v>185686.33</v>
      </c>
      <c r="H520" s="18">
        <v>108097.83</v>
      </c>
      <c r="I520" s="18">
        <f>5117.53+694.94</f>
        <v>5812.4699999999993</v>
      </c>
      <c r="J520" s="18">
        <v>361.9</v>
      </c>
      <c r="K520" s="18">
        <v>5588.83</v>
      </c>
      <c r="L520" s="88">
        <f>SUM(F520:K520)</f>
        <v>964834.3899999999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747674.65</v>
      </c>
      <c r="G521" s="18">
        <v>187973.39</v>
      </c>
      <c r="H521" s="18">
        <v>171857.91</v>
      </c>
      <c r="I521" s="18">
        <v>9507.82</v>
      </c>
      <c r="J521" s="18">
        <v>2740.14</v>
      </c>
      <c r="K521" s="18">
        <v>6682.63</v>
      </c>
      <c r="L521" s="88">
        <f>SUM(F521:K521)</f>
        <v>1126436.5399999998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1406961.6800000002</v>
      </c>
      <c r="G523" s="108">
        <f t="shared" ref="G523:L523" si="36">SUM(G520:G522)</f>
        <v>373659.72</v>
      </c>
      <c r="H523" s="108">
        <f t="shared" si="36"/>
        <v>279955.74</v>
      </c>
      <c r="I523" s="108">
        <f t="shared" si="36"/>
        <v>15320.289999999999</v>
      </c>
      <c r="J523" s="108">
        <f t="shared" si="36"/>
        <v>3102.04</v>
      </c>
      <c r="K523" s="108">
        <f t="shared" si="36"/>
        <v>12271.46</v>
      </c>
      <c r="L523" s="89">
        <f t="shared" si="36"/>
        <v>2091270.9299999997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203493.56</v>
      </c>
      <c r="G525" s="18">
        <v>87673.54</v>
      </c>
      <c r="H525" s="18">
        <v>0</v>
      </c>
      <c r="I525" s="18">
        <v>1978.66</v>
      </c>
      <c r="J525" s="18">
        <v>284.77999999999997</v>
      </c>
      <c r="K525" s="18">
        <v>0</v>
      </c>
      <c r="L525" s="88">
        <f>SUM(F525:K525)</f>
        <v>293430.53999999998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85344</v>
      </c>
      <c r="G526" s="18">
        <v>37551.39</v>
      </c>
      <c r="H526" s="18">
        <v>36393.75</v>
      </c>
      <c r="I526" s="18">
        <v>658.43</v>
      </c>
      <c r="J526" s="18">
        <v>0</v>
      </c>
      <c r="K526" s="18">
        <v>0</v>
      </c>
      <c r="L526" s="88">
        <f>SUM(F526:K526)</f>
        <v>159947.57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288837.56</v>
      </c>
      <c r="G528" s="89">
        <f t="shared" ref="G528:L528" si="37">SUM(G525:G527)</f>
        <v>125224.93</v>
      </c>
      <c r="H528" s="89">
        <f t="shared" si="37"/>
        <v>36393.75</v>
      </c>
      <c r="I528" s="89">
        <f t="shared" si="37"/>
        <v>2637.09</v>
      </c>
      <c r="J528" s="89">
        <f t="shared" si="37"/>
        <v>284.77999999999997</v>
      </c>
      <c r="K528" s="89">
        <f t="shared" si="37"/>
        <v>0</v>
      </c>
      <c r="L528" s="89">
        <f t="shared" si="37"/>
        <v>453378.11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28192.01</v>
      </c>
      <c r="G530" s="18">
        <v>9650.67</v>
      </c>
      <c r="H530" s="18"/>
      <c r="I530" s="18"/>
      <c r="J530" s="18"/>
      <c r="K530" s="18">
        <v>263.73</v>
      </c>
      <c r="L530" s="88">
        <f>SUM(F530:K530)</f>
        <v>38106.410000000003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28192.02</v>
      </c>
      <c r="G531" s="18">
        <v>9650.68</v>
      </c>
      <c r="H531" s="18"/>
      <c r="I531" s="18"/>
      <c r="J531" s="18"/>
      <c r="K531" s="18">
        <v>236.74</v>
      </c>
      <c r="L531" s="88">
        <f>SUM(F531:K531)</f>
        <v>38079.439999999995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56384.03</v>
      </c>
      <c r="G533" s="89">
        <f t="shared" ref="G533:L533" si="38">SUM(G530:G532)</f>
        <v>19301.349999999999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500.47</v>
      </c>
      <c r="L533" s="89">
        <f t="shared" si="38"/>
        <v>76185.850000000006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2056</v>
      </c>
      <c r="I535" s="18"/>
      <c r="J535" s="18"/>
      <c r="K535" s="18"/>
      <c r="L535" s="88">
        <f>SUM(F535:K535)</f>
        <v>2056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2056</v>
      </c>
      <c r="I536" s="18"/>
      <c r="J536" s="18"/>
      <c r="K536" s="18"/>
      <c r="L536" s="88">
        <f>SUM(F536:K536)</f>
        <v>2056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4112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4112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178923.54</v>
      </c>
      <c r="I540" s="18"/>
      <c r="J540" s="18"/>
      <c r="K540" s="18"/>
      <c r="L540" s="88">
        <f>SUM(F540:K540)</f>
        <v>178923.54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32786.379999999997</v>
      </c>
      <c r="I541" s="18"/>
      <c r="J541" s="18"/>
      <c r="K541" s="18"/>
      <c r="L541" s="88">
        <f>SUM(F541:K541)</f>
        <v>32786.379999999997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211709.92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211709.92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1752183.2700000003</v>
      </c>
      <c r="G544" s="89">
        <f t="shared" ref="G544:L544" si="41">G523+G528+G533+G538+G543</f>
        <v>518185.99999999994</v>
      </c>
      <c r="H544" s="89">
        <f t="shared" si="41"/>
        <v>532171.41</v>
      </c>
      <c r="I544" s="89">
        <f t="shared" si="41"/>
        <v>17957.379999999997</v>
      </c>
      <c r="J544" s="89">
        <f t="shared" si="41"/>
        <v>3386.8199999999997</v>
      </c>
      <c r="K544" s="89">
        <f t="shared" si="41"/>
        <v>12771.929999999998</v>
      </c>
      <c r="L544" s="89">
        <f t="shared" si="41"/>
        <v>2836656.8099999996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964834.3899999999</v>
      </c>
      <c r="G548" s="87">
        <f>L525</f>
        <v>293430.53999999998</v>
      </c>
      <c r="H548" s="87">
        <f>L530</f>
        <v>38106.410000000003</v>
      </c>
      <c r="I548" s="87">
        <f>L535</f>
        <v>2056</v>
      </c>
      <c r="J548" s="87">
        <f>L540</f>
        <v>178923.54</v>
      </c>
      <c r="K548" s="87">
        <f>SUM(F548:J548)</f>
        <v>1477350.88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1126436.5399999998</v>
      </c>
      <c r="G549" s="87">
        <f>L526</f>
        <v>159947.57</v>
      </c>
      <c r="H549" s="87">
        <f>L531</f>
        <v>38079.439999999995</v>
      </c>
      <c r="I549" s="87">
        <f>L536</f>
        <v>2056</v>
      </c>
      <c r="J549" s="87">
        <f>L541</f>
        <v>32786.379999999997</v>
      </c>
      <c r="K549" s="87">
        <f>SUM(F549:J549)</f>
        <v>1359305.9299999997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2091270.9299999997</v>
      </c>
      <c r="G551" s="89">
        <f t="shared" si="42"/>
        <v>453378.11</v>
      </c>
      <c r="H551" s="89">
        <f t="shared" si="42"/>
        <v>76185.850000000006</v>
      </c>
      <c r="I551" s="89">
        <f t="shared" si="42"/>
        <v>4112</v>
      </c>
      <c r="J551" s="89">
        <f t="shared" si="42"/>
        <v>211709.92</v>
      </c>
      <c r="K551" s="89">
        <f t="shared" si="42"/>
        <v>2836656.8099999996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18">
        <v>0</v>
      </c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1690</v>
      </c>
      <c r="G562" s="18">
        <v>241.87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1931.87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1690</v>
      </c>
      <c r="G564" s="89">
        <f t="shared" si="44"/>
        <v>241.87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1931.87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1690</v>
      </c>
      <c r="G570" s="89">
        <f t="shared" ref="G570:L570" si="46">G559+G564+G569</f>
        <v>241.87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1931.87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>
        <v>0</v>
      </c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>
        <v>0</v>
      </c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>
        <v>0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0</v>
      </c>
      <c r="G578" s="18">
        <v>0</v>
      </c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0</v>
      </c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62520.53</v>
      </c>
      <c r="G581" s="18">
        <v>53998.13</v>
      </c>
      <c r="H581" s="18"/>
      <c r="I581" s="87">
        <f t="shared" si="47"/>
        <v>116518.66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>
        <v>87533.56</v>
      </c>
      <c r="H582" s="18"/>
      <c r="I582" s="87">
        <f t="shared" si="47"/>
        <v>87533.56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>
        <v>0</v>
      </c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>
        <v>0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246986.21</v>
      </c>
      <c r="I590" s="18">
        <v>236155</v>
      </c>
      <c r="J590" s="18"/>
      <c r="K590" s="104">
        <f t="shared" ref="K590:K596" si="48">SUM(H590:J590)</f>
        <v>483141.20999999996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178923.54</v>
      </c>
      <c r="I591" s="18">
        <v>32786.379999999997</v>
      </c>
      <c r="J591" s="18"/>
      <c r="K591" s="104">
        <f t="shared" si="48"/>
        <v>211709.92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13638.2</v>
      </c>
      <c r="J593" s="18"/>
      <c r="K593" s="104">
        <f t="shared" si="48"/>
        <v>13638.2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298.02999999999997</v>
      </c>
      <c r="I594" s="18">
        <v>1371.3</v>
      </c>
      <c r="J594" s="18"/>
      <c r="K594" s="104">
        <f t="shared" si="48"/>
        <v>1669.33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426207.78</v>
      </c>
      <c r="I597" s="108">
        <f>SUM(I590:I596)</f>
        <v>283950.88</v>
      </c>
      <c r="J597" s="108">
        <f>SUM(J590:J596)</f>
        <v>0</v>
      </c>
      <c r="K597" s="108">
        <f>SUM(K590:K596)</f>
        <v>710158.65999999992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100258.62</v>
      </c>
      <c r="I603" s="18">
        <v>67184.61</v>
      </c>
      <c r="J603" s="18"/>
      <c r="K603" s="104">
        <f>SUM(H603:J603)</f>
        <v>167443.22999999998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100258.62</v>
      </c>
      <c r="I604" s="108">
        <f>SUM(I601:I603)</f>
        <v>67184.61</v>
      </c>
      <c r="J604" s="108">
        <f>SUM(J601:J603)</f>
        <v>0</v>
      </c>
      <c r="K604" s="108">
        <f>SUM(K601:K603)</f>
        <v>167443.22999999998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17078.75</v>
      </c>
      <c r="G610" s="18">
        <v>2724.93</v>
      </c>
      <c r="H610" s="18">
        <v>0</v>
      </c>
      <c r="I610" s="18">
        <v>33.770000000000003</v>
      </c>
      <c r="J610" s="18">
        <v>0</v>
      </c>
      <c r="K610" s="18">
        <v>0</v>
      </c>
      <c r="L610" s="88">
        <f>SUM(F610:K610)</f>
        <v>19837.45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11862.5</v>
      </c>
      <c r="G611" s="18">
        <v>1679.01</v>
      </c>
      <c r="H611" s="18">
        <v>0</v>
      </c>
      <c r="I611" s="18">
        <v>120.24</v>
      </c>
      <c r="J611" s="18">
        <v>0</v>
      </c>
      <c r="K611" s="18"/>
      <c r="L611" s="88">
        <f>SUM(F611:K611)</f>
        <v>13661.75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28941.25</v>
      </c>
      <c r="G613" s="108">
        <f t="shared" si="49"/>
        <v>4403.9399999999996</v>
      </c>
      <c r="H613" s="108">
        <f t="shared" si="49"/>
        <v>0</v>
      </c>
      <c r="I613" s="108">
        <f t="shared" si="49"/>
        <v>154.01</v>
      </c>
      <c r="J613" s="108">
        <f t="shared" si="49"/>
        <v>0</v>
      </c>
      <c r="K613" s="108">
        <f t="shared" si="49"/>
        <v>0</v>
      </c>
      <c r="L613" s="89">
        <f t="shared" si="49"/>
        <v>33499.199999999997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289087.27</v>
      </c>
      <c r="H616" s="109">
        <f>SUM(F51)</f>
        <v>289087.27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59389.48000000001</v>
      </c>
      <c r="H617" s="109">
        <f>SUM(G51)</f>
        <v>59389.479999999996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3630.0100000000093</v>
      </c>
      <c r="H618" s="109">
        <f>SUM(H51)</f>
        <v>3630.01</v>
      </c>
      <c r="I618" s="121" t="s">
        <v>903</v>
      </c>
      <c r="J618" s="109">
        <f>G618-H618</f>
        <v>9.0949470177292824E-12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327043.37</v>
      </c>
      <c r="H620" s="109">
        <f>SUM(J51)</f>
        <v>327043.37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199221.47</v>
      </c>
      <c r="H621" s="109">
        <f>F475</f>
        <v>199221.46999999881</v>
      </c>
      <c r="I621" s="121" t="s">
        <v>101</v>
      </c>
      <c r="J621" s="109">
        <f t="shared" ref="J621:J654" si="50">G621-H621</f>
        <v>1.1932570487260818E-9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53404.56</v>
      </c>
      <c r="H622" s="109">
        <f>G475</f>
        <v>53404.56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3570.44</v>
      </c>
      <c r="H623" s="109">
        <f>H475</f>
        <v>3570.4400000000023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327043.37</v>
      </c>
      <c r="H625" s="109">
        <f>J475</f>
        <v>327043.37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12442731.18</v>
      </c>
      <c r="H626" s="104">
        <f>SUM(F467)</f>
        <v>12442731.18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375617.73999999993</v>
      </c>
      <c r="H627" s="104">
        <f>SUM(G467)</f>
        <v>375617.74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336124.22</v>
      </c>
      <c r="H628" s="104">
        <f>SUM(H467)</f>
        <v>336124.22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75122.929999999993</v>
      </c>
      <c r="H630" s="104">
        <f>SUM(J467)</f>
        <v>75122.929999999993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12394003.899999999</v>
      </c>
      <c r="H631" s="104">
        <f>SUM(F471)</f>
        <v>12394003.9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339086.54000000004</v>
      </c>
      <c r="H632" s="104">
        <f>SUM(H471)</f>
        <v>339086.54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351872.77</v>
      </c>
      <c r="H634" s="104">
        <f>SUM(G471)</f>
        <v>351872.77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75122.929999999993</v>
      </c>
      <c r="H636" s="164">
        <f>SUM(J467)</f>
        <v>75122.929999999993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327043.37</v>
      </c>
      <c r="H639" s="104">
        <f>SUM(G460)</f>
        <v>327043.37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327043.37</v>
      </c>
      <c r="H641" s="104">
        <f>SUM(I460)</f>
        <v>327043.37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122.93</v>
      </c>
      <c r="H643" s="104">
        <f>H407</f>
        <v>122.93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75000</v>
      </c>
      <c r="H644" s="104">
        <f>G407</f>
        <v>75000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75122.929999999993</v>
      </c>
      <c r="H645" s="104">
        <f>L407</f>
        <v>75122.929999999993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710158.65999999992</v>
      </c>
      <c r="H646" s="104">
        <f>L207+L225+L243</f>
        <v>710158.66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167443.22999999998</v>
      </c>
      <c r="H647" s="104">
        <f>(J256+J337)-(J254+J335)</f>
        <v>167443.22999999998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426207.78</v>
      </c>
      <c r="H648" s="104">
        <f>H597</f>
        <v>426207.78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283950.88</v>
      </c>
      <c r="H649" s="104">
        <f>I597</f>
        <v>283950.88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1223.6199999999999</v>
      </c>
      <c r="H651" s="104">
        <f>K262+K344</f>
        <v>1223.6199999999999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75000</v>
      </c>
      <c r="H654" s="104">
        <f>K265+K346</f>
        <v>75000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5885328.2199999997</v>
      </c>
      <c r="G659" s="19">
        <f>(L228+L308+L358)</f>
        <v>5606778.7599999998</v>
      </c>
      <c r="H659" s="19">
        <f>(L246+L327+L359)</f>
        <v>0</v>
      </c>
      <c r="I659" s="19">
        <f>SUM(F659:H659)</f>
        <v>11492106.98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120262.43354359844</v>
      </c>
      <c r="G660" s="19">
        <f>(L358/IF(SUM(L357:L359)=0,1,SUM(L357:L359))*(SUM(G96:G109)))</f>
        <v>117011.03645640155</v>
      </c>
      <c r="H660" s="19">
        <f>(L359/IF(SUM(L357:L359)=0,1,SUM(L357:L359))*(SUM(G96:G109)))</f>
        <v>0</v>
      </c>
      <c r="I660" s="19">
        <f>SUM(F660:H660)</f>
        <v>237273.46999999997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426207.78</v>
      </c>
      <c r="G661" s="19">
        <f>(L225+L305)-(J225+J305)</f>
        <v>283950.88</v>
      </c>
      <c r="H661" s="19">
        <f>(L243+L324)-(J243+J324)</f>
        <v>0</v>
      </c>
      <c r="I661" s="19">
        <f>SUM(F661:H661)</f>
        <v>710158.66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182616.6</v>
      </c>
      <c r="G662" s="200">
        <f>SUM(G574:G586)+SUM(I601:I603)+L611</f>
        <v>222378.05</v>
      </c>
      <c r="H662" s="200">
        <f>SUM(H574:H586)+SUM(J601:J603)+L612</f>
        <v>0</v>
      </c>
      <c r="I662" s="19">
        <f>SUM(F662:H662)</f>
        <v>404994.65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5156241.4064564016</v>
      </c>
      <c r="G663" s="19">
        <f>G659-SUM(G660:G662)</f>
        <v>4983438.7935435977</v>
      </c>
      <c r="H663" s="19">
        <f>H659-SUM(H660:H662)</f>
        <v>0</v>
      </c>
      <c r="I663" s="19">
        <f>I659-SUM(I660:I662)</f>
        <v>10139680.200000001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498.49</v>
      </c>
      <c r="G664" s="249">
        <v>486.44</v>
      </c>
      <c r="H664" s="249"/>
      <c r="I664" s="19">
        <f>SUM(F664:H664)</f>
        <v>984.93000000000006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10343.719999999999</v>
      </c>
      <c r="G666" s="19">
        <f>ROUND(G663/G664,2)</f>
        <v>10244.709999999999</v>
      </c>
      <c r="H666" s="19" t="e">
        <f>ROUND(H663/H664,2)</f>
        <v>#DIV/0!</v>
      </c>
      <c r="I666" s="19">
        <f>ROUND(I663/I664,2)</f>
        <v>10294.82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10343.719999999999</v>
      </c>
      <c r="G671" s="19">
        <f>ROUND((G663+G668)/(G664+G669),2)</f>
        <v>10244.709999999999</v>
      </c>
      <c r="H671" s="19" t="e">
        <f>ROUND((H663+H668)/(H664+H669),2)</f>
        <v>#DIV/0!</v>
      </c>
      <c r="I671" s="19">
        <f>ROUND((I663+I668)/(I664+I669),2)</f>
        <v>10294.82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85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0" sqref="C20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WEARE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2857196.7100000004</v>
      </c>
      <c r="C9" s="230">
        <f>'DOE25'!G196+'DOE25'!G214+'DOE25'!G232+'DOE25'!G275+'DOE25'!G294+'DOE25'!G313</f>
        <v>1382768.1099999999</v>
      </c>
    </row>
    <row r="10" spans="1:3">
      <c r="A10" t="s">
        <v>779</v>
      </c>
      <c r="B10" s="241">
        <v>2642973.88</v>
      </c>
      <c r="C10" s="241">
        <v>1363767.72</v>
      </c>
    </row>
    <row r="11" spans="1:3">
      <c r="A11" t="s">
        <v>780</v>
      </c>
      <c r="B11" s="241">
        <v>77374.55</v>
      </c>
      <c r="C11" s="241">
        <v>8532.17</v>
      </c>
    </row>
    <row r="12" spans="1:3">
      <c r="A12" t="s">
        <v>781</v>
      </c>
      <c r="B12" s="241">
        <v>136848.28</v>
      </c>
      <c r="C12" s="241">
        <v>10468.219999999999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2857196.7099999995</v>
      </c>
      <c r="C13" s="232">
        <f>SUM(C10:C12)</f>
        <v>1382768.1099999999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1406961.6800000002</v>
      </c>
      <c r="C18" s="230">
        <f>'DOE25'!G197+'DOE25'!G215+'DOE25'!G233+'DOE25'!G276+'DOE25'!G295+'DOE25'!G314</f>
        <v>373659.72</v>
      </c>
    </row>
    <row r="19" spans="1:3">
      <c r="A19" t="s">
        <v>779</v>
      </c>
      <c r="B19" s="241">
        <f>649930.64+425</f>
        <v>650355.64</v>
      </c>
      <c r="C19" s="241">
        <f>297948.85+34.43</f>
        <v>297983.27999999997</v>
      </c>
    </row>
    <row r="20" spans="1:3">
      <c r="A20" t="s">
        <v>780</v>
      </c>
      <c r="B20" s="241">
        <v>708833.03</v>
      </c>
      <c r="C20" s="241">
        <v>58950.41</v>
      </c>
    </row>
    <row r="21" spans="1:3">
      <c r="A21" t="s">
        <v>781</v>
      </c>
      <c r="B21" s="241">
        <v>47773.01</v>
      </c>
      <c r="C21" s="241">
        <v>16726.03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1406961.68</v>
      </c>
      <c r="C22" s="232">
        <f>SUM(C19:C21)</f>
        <v>373659.72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91601.74</v>
      </c>
      <c r="C36" s="236">
        <f>'DOE25'!G199+'DOE25'!G217+'DOE25'!G235+'DOE25'!G278+'DOE25'!G297+'DOE25'!G316</f>
        <v>11698.740000000002</v>
      </c>
    </row>
    <row r="37" spans="1:3">
      <c r="A37" t="s">
        <v>779</v>
      </c>
      <c r="B37" s="241">
        <v>40817.06</v>
      </c>
      <c r="C37" s="241">
        <v>7838.16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>
        <v>50784.68</v>
      </c>
      <c r="C39" s="241">
        <v>3860.58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91601.739999999991</v>
      </c>
      <c r="C40" s="232">
        <f>SUM(C37:C39)</f>
        <v>11698.74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WEARE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6470392.3299999991</v>
      </c>
      <c r="D5" s="20">
        <f>SUM('DOE25'!L196:L199)+SUM('DOE25'!L214:L217)+SUM('DOE25'!L232:L235)-F5-G5</f>
        <v>6393134.1399999987</v>
      </c>
      <c r="E5" s="244"/>
      <c r="F5" s="256">
        <f>SUM('DOE25'!J196:J199)+SUM('DOE25'!J214:J217)+SUM('DOE25'!J232:J235)</f>
        <v>61661.729999999996</v>
      </c>
      <c r="G5" s="53">
        <f>SUM('DOE25'!K196:K199)+SUM('DOE25'!K214:K217)+SUM('DOE25'!K232:K235)</f>
        <v>15596.460000000001</v>
      </c>
      <c r="H5" s="260"/>
    </row>
    <row r="6" spans="1:9">
      <c r="A6" s="32">
        <v>2100</v>
      </c>
      <c r="B6" t="s">
        <v>801</v>
      </c>
      <c r="C6" s="246">
        <f t="shared" si="0"/>
        <v>797265.66</v>
      </c>
      <c r="D6" s="20">
        <f>'DOE25'!L201+'DOE25'!L219+'DOE25'!L237-F6-G6</f>
        <v>796550.88</v>
      </c>
      <c r="E6" s="244"/>
      <c r="F6" s="256">
        <f>'DOE25'!J201+'DOE25'!J219+'DOE25'!J237</f>
        <v>284.77999999999997</v>
      </c>
      <c r="G6" s="53">
        <f>'DOE25'!K201+'DOE25'!K219+'DOE25'!K237</f>
        <v>430</v>
      </c>
      <c r="H6" s="260"/>
    </row>
    <row r="7" spans="1:9">
      <c r="A7" s="32">
        <v>2200</v>
      </c>
      <c r="B7" t="s">
        <v>834</v>
      </c>
      <c r="C7" s="246">
        <f t="shared" si="0"/>
        <v>380651.9</v>
      </c>
      <c r="D7" s="20">
        <f>'DOE25'!L202+'DOE25'!L220+'DOE25'!L238-F7-G7</f>
        <v>336556.51</v>
      </c>
      <c r="E7" s="244"/>
      <c r="F7" s="256">
        <f>'DOE25'!J202+'DOE25'!J220+'DOE25'!J238</f>
        <v>39235.39</v>
      </c>
      <c r="G7" s="53">
        <f>'DOE25'!K202+'DOE25'!K220+'DOE25'!K238</f>
        <v>4860</v>
      </c>
      <c r="H7" s="260"/>
    </row>
    <row r="8" spans="1:9">
      <c r="A8" s="32">
        <v>2300</v>
      </c>
      <c r="B8" t="s">
        <v>802</v>
      </c>
      <c r="C8" s="246">
        <f t="shared" si="0"/>
        <v>337761.20000000007</v>
      </c>
      <c r="D8" s="244"/>
      <c r="E8" s="20">
        <f>'DOE25'!L203+'DOE25'!L221+'DOE25'!L239-F8-G8-D9-D11</f>
        <v>332897.2300000001</v>
      </c>
      <c r="F8" s="256">
        <f>'DOE25'!J203+'DOE25'!J221+'DOE25'!J239</f>
        <v>0</v>
      </c>
      <c r="G8" s="53">
        <f>'DOE25'!K203+'DOE25'!K221+'DOE25'!K239</f>
        <v>4863.97</v>
      </c>
      <c r="H8" s="260"/>
    </row>
    <row r="9" spans="1:9">
      <c r="A9" s="32">
        <v>2310</v>
      </c>
      <c r="B9" t="s">
        <v>818</v>
      </c>
      <c r="C9" s="246">
        <f t="shared" si="0"/>
        <v>102732.1</v>
      </c>
      <c r="D9" s="245">
        <v>102732.1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6878</v>
      </c>
      <c r="D10" s="244"/>
      <c r="E10" s="245">
        <v>6878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136828.75</v>
      </c>
      <c r="D11" s="245">
        <v>136828.75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736039.1100000001</v>
      </c>
      <c r="D12" s="20">
        <f>'DOE25'!L204+'DOE25'!L222+'DOE25'!L240-F12-G12</f>
        <v>734206.34000000008</v>
      </c>
      <c r="E12" s="244"/>
      <c r="F12" s="256">
        <f>'DOE25'!J204+'DOE25'!J222+'DOE25'!J240</f>
        <v>0</v>
      </c>
      <c r="G12" s="53">
        <f>'DOE25'!K204+'DOE25'!K222+'DOE25'!K240</f>
        <v>1832.77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1222825.57</v>
      </c>
      <c r="D14" s="20">
        <f>'DOE25'!L206+'DOE25'!L224+'DOE25'!L242-F14-G14</f>
        <v>1156564.24</v>
      </c>
      <c r="E14" s="244"/>
      <c r="F14" s="256">
        <f>'DOE25'!J206+'DOE25'!J224+'DOE25'!J242</f>
        <v>66261.33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710158.66</v>
      </c>
      <c r="D15" s="20">
        <f>'DOE25'!L207+'DOE25'!L225+'DOE25'!L243-F15-G15</f>
        <v>710158.66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1423125</v>
      </c>
      <c r="D25" s="244"/>
      <c r="E25" s="244"/>
      <c r="F25" s="259"/>
      <c r="G25" s="257"/>
      <c r="H25" s="258">
        <f>'DOE25'!L259+'DOE25'!L260+'DOE25'!L340+'DOE25'!L341</f>
        <v>1423125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351872.77</v>
      </c>
      <c r="D29" s="20">
        <f>'DOE25'!L357+'DOE25'!L358+'DOE25'!L359-'DOE25'!I366-F29-G29</f>
        <v>345713.75</v>
      </c>
      <c r="E29" s="244"/>
      <c r="F29" s="256">
        <f>'DOE25'!J357+'DOE25'!J358+'DOE25'!J359</f>
        <v>0</v>
      </c>
      <c r="G29" s="53">
        <f>'DOE25'!K357+'DOE25'!K358+'DOE25'!K359</f>
        <v>6159.02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245578.93000000002</v>
      </c>
      <c r="D31" s="20">
        <f>'DOE25'!L289+'DOE25'!L308+'DOE25'!L327+'DOE25'!L332+'DOE25'!L333+'DOE25'!L334-F31-G31</f>
        <v>243920.77000000002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1658.16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10956366.139999999</v>
      </c>
      <c r="E33" s="247">
        <f>SUM(E5:E31)</f>
        <v>339775.2300000001</v>
      </c>
      <c r="F33" s="247">
        <f>SUM(F5:F31)</f>
        <v>167443.22999999998</v>
      </c>
      <c r="G33" s="247">
        <f>SUM(G5:G31)</f>
        <v>35400.380000000005</v>
      </c>
      <c r="H33" s="247">
        <f>SUM(H5:H31)</f>
        <v>1423125</v>
      </c>
    </row>
    <row r="35" spans="2:8" ht="12" thickBot="1">
      <c r="B35" s="254" t="s">
        <v>847</v>
      </c>
      <c r="D35" s="255">
        <f>E33</f>
        <v>339775.2300000001</v>
      </c>
      <c r="E35" s="250"/>
    </row>
    <row r="36" spans="2:8" ht="12" thickTop="1">
      <c r="B36" t="s">
        <v>815</v>
      </c>
      <c r="D36" s="20">
        <f>D33</f>
        <v>10956366.139999999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WEARE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286888.06</v>
      </c>
      <c r="D8" s="95">
        <f>'DOE25'!G9</f>
        <v>37579.480000000003</v>
      </c>
      <c r="E8" s="95">
        <f>'DOE25'!H9</f>
        <v>-90226.15</v>
      </c>
      <c r="F8" s="95">
        <f>'DOE25'!I9</f>
        <v>0</v>
      </c>
      <c r="G8" s="95">
        <f>'DOE25'!J9</f>
        <v>327043.37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1223.6199999999999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20586.38</v>
      </c>
      <c r="E12" s="95">
        <f>'DOE25'!H13</f>
        <v>93856.16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2199.21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289087.27</v>
      </c>
      <c r="D18" s="41">
        <f>SUM(D8:D17)</f>
        <v>59389.48000000001</v>
      </c>
      <c r="E18" s="41">
        <f>SUM(E8:E17)</f>
        <v>3630.0100000000093</v>
      </c>
      <c r="F18" s="41">
        <f>SUM(F8:F17)</f>
        <v>0</v>
      </c>
      <c r="G18" s="41">
        <f>SUM(G8:G17)</f>
        <v>327043.37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1223.6199999999999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59.57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10308.120000000001</v>
      </c>
      <c r="D23" s="95">
        <f>'DOE25'!G24</f>
        <v>5984.92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60000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18334.060000000001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89865.8</v>
      </c>
      <c r="D31" s="41">
        <f>SUM(D21:D30)</f>
        <v>5984.92</v>
      </c>
      <c r="E31" s="41">
        <f>SUM(E21:E30)</f>
        <v>59.57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53404.56</v>
      </c>
      <c r="E46" s="95">
        <f>'DOE25'!H47</f>
        <v>3570.44</v>
      </c>
      <c r="F46" s="95">
        <f>'DOE25'!I47</f>
        <v>0</v>
      </c>
      <c r="G46" s="95">
        <f>'DOE25'!J47</f>
        <v>327043.37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99221.47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199221.47</v>
      </c>
      <c r="D49" s="41">
        <f>SUM(D34:D48)</f>
        <v>53404.56</v>
      </c>
      <c r="E49" s="41">
        <f>SUM(E34:E48)</f>
        <v>3570.44</v>
      </c>
      <c r="F49" s="41">
        <f>SUM(F34:F48)</f>
        <v>0</v>
      </c>
      <c r="G49" s="41">
        <f>SUM(G34:G48)</f>
        <v>327043.37</v>
      </c>
      <c r="H49" s="124"/>
      <c r="I49" s="124"/>
    </row>
    <row r="50" spans="1:9" ht="12" thickTop="1">
      <c r="A50" s="38" t="s">
        <v>895</v>
      </c>
      <c r="B50" s="2"/>
      <c r="C50" s="41">
        <f>C49+C31</f>
        <v>289087.27</v>
      </c>
      <c r="D50" s="41">
        <f>D49+D31</f>
        <v>59389.479999999996</v>
      </c>
      <c r="E50" s="41">
        <f>E49+E31</f>
        <v>3630.01</v>
      </c>
      <c r="F50" s="41">
        <f>F49+F31</f>
        <v>0</v>
      </c>
      <c r="G50" s="41">
        <f>G49+G31</f>
        <v>327043.37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5768654</v>
      </c>
      <c r="D55" s="95">
        <f>'DOE25'!G59</f>
        <v>30000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20540</v>
      </c>
      <c r="D56" s="24" t="s">
        <v>289</v>
      </c>
      <c r="E56" s="95">
        <f>'DOE25'!H78</f>
        <v>34856.53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55834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412.32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122.93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237273.47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11726.83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88513.150000000009</v>
      </c>
      <c r="D61" s="130">
        <f>SUM(D56:D60)</f>
        <v>237273.47</v>
      </c>
      <c r="E61" s="130">
        <f>SUM(E56:E60)</f>
        <v>34856.53</v>
      </c>
      <c r="F61" s="130">
        <f>SUM(F56:F60)</f>
        <v>0</v>
      </c>
      <c r="G61" s="130">
        <f>SUM(G56:G60)</f>
        <v>122.93</v>
      </c>
      <c r="H61"/>
      <c r="I61"/>
    </row>
    <row r="62" spans="1:9" ht="12" thickTop="1">
      <c r="A62" s="29" t="s">
        <v>175</v>
      </c>
      <c r="B62" s="6"/>
      <c r="C62" s="22">
        <f>C55+C61</f>
        <v>5857167.1500000004</v>
      </c>
      <c r="D62" s="22">
        <f>D55+D61</f>
        <v>267273.46999999997</v>
      </c>
      <c r="E62" s="22">
        <f>E55+E61</f>
        <v>34856.53</v>
      </c>
      <c r="F62" s="22">
        <f>F55+F61</f>
        <v>0</v>
      </c>
      <c r="G62" s="22">
        <f>G55+G61</f>
        <v>122.93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4950751.5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1136319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4289.5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9155.61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6100515.6100000003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385686.4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4538.1000000000004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385686.4</v>
      </c>
      <c r="D77" s="130">
        <f>SUM(D71:D76)</f>
        <v>4538.1000000000004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6486202.0100000007</v>
      </c>
      <c r="D80" s="130">
        <f>SUM(D78:D79)+D77+D69</f>
        <v>4538.1000000000004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99362.02</v>
      </c>
      <c r="D87" s="95">
        <f>SUM('DOE25'!G152:G160)</f>
        <v>102582.55</v>
      </c>
      <c r="E87" s="95">
        <f>SUM('DOE25'!H152:H160)</f>
        <v>301267.69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99362.02</v>
      </c>
      <c r="D90" s="131">
        <f>SUM(D84:D89)</f>
        <v>102582.55</v>
      </c>
      <c r="E90" s="131">
        <f>SUM(E84:E89)</f>
        <v>301267.69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1223.6199999999999</v>
      </c>
      <c r="E95" s="95">
        <f>'DOE25'!H178</f>
        <v>0</v>
      </c>
      <c r="F95" s="95">
        <f>'DOE25'!I178</f>
        <v>0</v>
      </c>
      <c r="G95" s="95">
        <f>'DOE25'!J178</f>
        <v>75000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1223.6199999999999</v>
      </c>
      <c r="E102" s="86">
        <f>SUM(E92:E101)</f>
        <v>0</v>
      </c>
      <c r="F102" s="86">
        <f>SUM(F92:F101)</f>
        <v>0</v>
      </c>
      <c r="G102" s="86">
        <f>SUM(G92:G101)</f>
        <v>75000</v>
      </c>
    </row>
    <row r="103" spans="1:7" ht="12.75" thickTop="1" thickBot="1">
      <c r="A103" s="33" t="s">
        <v>765</v>
      </c>
      <c r="C103" s="86">
        <f>C62+C80+C90+C102</f>
        <v>12442731.18</v>
      </c>
      <c r="D103" s="86">
        <f>D62+D80+D90+D102</f>
        <v>375617.73999999993</v>
      </c>
      <c r="E103" s="86">
        <f>E62+E80+E90+E102</f>
        <v>336124.22</v>
      </c>
      <c r="F103" s="86">
        <f>F62+F80+F90+F102</f>
        <v>0</v>
      </c>
      <c r="G103" s="86">
        <f>G62+G80+G102</f>
        <v>75122.929999999993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4307966.8</v>
      </c>
      <c r="D108" s="24" t="s">
        <v>289</v>
      </c>
      <c r="E108" s="95">
        <f>('DOE25'!L275)+('DOE25'!L294)+('DOE25'!L313)</f>
        <v>139957.35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2090575.9899999998</v>
      </c>
      <c r="D109" s="24" t="s">
        <v>289</v>
      </c>
      <c r="E109" s="95">
        <f>('DOE25'!L276)+('DOE25'!L295)+('DOE25'!L314)</f>
        <v>694.94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71849.540000000008</v>
      </c>
      <c r="D111" s="24" t="s">
        <v>289</v>
      </c>
      <c r="E111" s="95">
        <f>+('DOE25'!L278)+('DOE25'!L297)+('DOE25'!L316)</f>
        <v>37818.850000000006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6470392.3299999991</v>
      </c>
      <c r="D114" s="86">
        <f>SUM(D108:D113)</f>
        <v>0</v>
      </c>
      <c r="E114" s="86">
        <f>SUM(E108:E113)</f>
        <v>178471.14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797265.66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380651.9</v>
      </c>
      <c r="D118" s="24" t="s">
        <v>289</v>
      </c>
      <c r="E118" s="95">
        <f>+('DOE25'!L281)+('DOE25'!L300)+('DOE25'!L319)</f>
        <v>65449.63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577322.05000000005</v>
      </c>
      <c r="D119" s="24" t="s">
        <v>289</v>
      </c>
      <c r="E119" s="95">
        <f>+('DOE25'!L282)+('DOE25'!L301)+('DOE25'!L320)</f>
        <v>1658.16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736039.1100000001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1222825.57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710158.66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351872.77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4424262.95</v>
      </c>
      <c r="D127" s="86">
        <f>SUM(D117:D126)</f>
        <v>351872.77</v>
      </c>
      <c r="E127" s="86">
        <f>SUM(E117:E126)</f>
        <v>67107.789999999994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900000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523125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1223.6199999999999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24.1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75098.829999999987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-122.92999999999302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93507.61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1499348.6200000003</v>
      </c>
      <c r="D143" s="141">
        <f>SUM(D129:D142)</f>
        <v>0</v>
      </c>
      <c r="E143" s="141">
        <f>SUM(E129:E142)</f>
        <v>93507.61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12394003.9</v>
      </c>
      <c r="D144" s="86">
        <f>(D114+D127+D143)</f>
        <v>351872.77</v>
      </c>
      <c r="E144" s="86">
        <f>(E114+E127+E143)</f>
        <v>339086.54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6/23/05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8/1/25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18000000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3.5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13500000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13500000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900000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900000</v>
      </c>
    </row>
    <row r="158" spans="1:9">
      <c r="A158" s="22" t="s">
        <v>35</v>
      </c>
      <c r="B158" s="137">
        <f>'DOE25'!F497</f>
        <v>12600000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12600000</v>
      </c>
    </row>
    <row r="159" spans="1:9">
      <c r="A159" s="22" t="s">
        <v>36</v>
      </c>
      <c r="B159" s="137">
        <f>'DOE25'!F498</f>
        <v>3585375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3585375</v>
      </c>
    </row>
    <row r="160" spans="1:9">
      <c r="A160" s="22" t="s">
        <v>37</v>
      </c>
      <c r="B160" s="137">
        <f>'DOE25'!F499</f>
        <v>16185375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16185375</v>
      </c>
    </row>
    <row r="161" spans="1:7">
      <c r="A161" s="22" t="s">
        <v>38</v>
      </c>
      <c r="B161" s="137">
        <f>'DOE25'!F500</f>
        <v>900000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900000</v>
      </c>
    </row>
    <row r="162" spans="1:7">
      <c r="A162" s="22" t="s">
        <v>39</v>
      </c>
      <c r="B162" s="137">
        <f>'DOE25'!F501</f>
        <v>489375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489375</v>
      </c>
    </row>
    <row r="163" spans="1:7">
      <c r="A163" s="22" t="s">
        <v>246</v>
      </c>
      <c r="B163" s="137">
        <f>'DOE25'!F502</f>
        <v>1389375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1389375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WEARE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10344</v>
      </c>
    </row>
    <row r="5" spans="1:4">
      <c r="B5" t="s">
        <v>704</v>
      </c>
      <c r="C5" s="179">
        <f>IF('DOE25'!G664+'DOE25'!G669=0,0,ROUND('DOE25'!G671,0))</f>
        <v>10245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10295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4447924</v>
      </c>
      <c r="D10" s="182">
        <f>ROUND((C10/$C$28)*100,1)</f>
        <v>37.5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2091271</v>
      </c>
      <c r="D11" s="182">
        <f>ROUND((C11/$C$28)*100,1)</f>
        <v>17.600000000000001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109668</v>
      </c>
      <c r="D13" s="182">
        <f>ROUND((C13/$C$28)*100,1)</f>
        <v>0.9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797266</v>
      </c>
      <c r="D15" s="182">
        <f t="shared" ref="D15:D27" si="0">ROUND((C15/$C$28)*100,1)</f>
        <v>6.7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446102</v>
      </c>
      <c r="D16" s="182">
        <f t="shared" si="0"/>
        <v>3.8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578980</v>
      </c>
      <c r="D17" s="182">
        <f t="shared" si="0"/>
        <v>4.9000000000000004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736039</v>
      </c>
      <c r="D18" s="182">
        <f t="shared" si="0"/>
        <v>6.2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1222826</v>
      </c>
      <c r="D20" s="182">
        <f t="shared" si="0"/>
        <v>10.3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710159</v>
      </c>
      <c r="D21" s="182">
        <f t="shared" si="0"/>
        <v>6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523125</v>
      </c>
      <c r="D25" s="182">
        <f t="shared" si="0"/>
        <v>4.4000000000000004</v>
      </c>
    </row>
    <row r="26" spans="1:4">
      <c r="A26" s="183" t="s">
        <v>721</v>
      </c>
      <c r="B26" t="s">
        <v>722</v>
      </c>
      <c r="C26" s="179">
        <f>'DOE25'!L267+'DOE25'!L268+'DOE25'!L348+'DOE25'!L349</f>
        <v>93507.61</v>
      </c>
      <c r="D26" s="182">
        <f t="shared" si="0"/>
        <v>0.8</v>
      </c>
    </row>
    <row r="27" spans="1:4">
      <c r="A27">
        <v>3100</v>
      </c>
      <c r="B27" t="s">
        <v>11</v>
      </c>
      <c r="C27" s="179">
        <f>ROUND('DOE25'!L361-'DOE25'!L360,0)-SUM('DOE25'!G96:G109)</f>
        <v>114599.53</v>
      </c>
      <c r="D27" s="182">
        <f t="shared" si="0"/>
        <v>1</v>
      </c>
    </row>
    <row r="28" spans="1:4">
      <c r="B28" s="187" t="s">
        <v>723</v>
      </c>
      <c r="C28" s="180">
        <f>SUM(C10:C27)</f>
        <v>11871467.139999999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11871467.139999999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900000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5798654</v>
      </c>
      <c r="D35" s="182">
        <f t="shared" ref="D35:D40" si="1">ROUND((C35/$C$41)*100,1)</f>
        <v>44.9</v>
      </c>
    </row>
    <row r="36" spans="1:4">
      <c r="B36" s="185" t="s">
        <v>743</v>
      </c>
      <c r="C36" s="179">
        <f>SUM('DOE25'!F111:J111)-SUM('DOE25'!G96:G109)+('DOE25'!F173+'DOE25'!F174+'DOE25'!I173+'DOE25'!I174)-C35</f>
        <v>123492.61000000034</v>
      </c>
      <c r="D36" s="182">
        <f t="shared" si="1"/>
        <v>1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6091360</v>
      </c>
      <c r="D37" s="182">
        <f t="shared" si="1"/>
        <v>47.2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399380</v>
      </c>
      <c r="D38" s="182">
        <f t="shared" si="1"/>
        <v>3.1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503212</v>
      </c>
      <c r="D39" s="182">
        <f t="shared" si="1"/>
        <v>3.9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12916098.609999999</v>
      </c>
      <c r="D41" s="184">
        <f>SUM(D35:D40)</f>
        <v>100.1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6" t="s">
        <v>767</v>
      </c>
      <c r="B2" s="297"/>
      <c r="C2" s="297"/>
      <c r="D2" s="297"/>
      <c r="E2" s="297"/>
      <c r="F2" s="290" t="str">
        <f>'DOE25'!A2</f>
        <v>WEARE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2012-08-23T12:31:50Z</cp:lastPrinted>
  <dcterms:created xsi:type="dcterms:W3CDTF">1997-12-04T19:04:30Z</dcterms:created>
  <dcterms:modified xsi:type="dcterms:W3CDTF">2012-11-21T16:26:58Z</dcterms:modified>
</cp:coreProperties>
</file>