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178" i="1" l="1"/>
  <c r="J467" i="1"/>
  <c r="J95" i="1"/>
  <c r="D9" i="13" l="1"/>
  <c r="F367" i="1" l="1"/>
  <c r="F578" i="1"/>
  <c r="H525" i="1"/>
  <c r="G520" i="1"/>
  <c r="F520" i="1"/>
  <c r="I520" i="1"/>
  <c r="H520" i="1"/>
  <c r="G501" i="1"/>
  <c r="G498" i="1"/>
  <c r="F501" i="1"/>
  <c r="F498" i="1"/>
  <c r="I357" i="1" l="1"/>
  <c r="H357" i="1"/>
  <c r="G357" i="1"/>
  <c r="I281" i="1"/>
  <c r="H281" i="1"/>
  <c r="G281" i="1"/>
  <c r="G278" i="1"/>
  <c r="I276" i="1"/>
  <c r="G276" i="1"/>
  <c r="G275" i="1"/>
  <c r="K265" i="1" l="1"/>
  <c r="I204" i="1"/>
  <c r="I202" i="1"/>
  <c r="I201" i="1"/>
  <c r="H207" i="1"/>
  <c r="H203" i="1"/>
  <c r="H201" i="1"/>
  <c r="H199" i="1"/>
  <c r="G203" i="1"/>
  <c r="G202" i="1"/>
  <c r="G201" i="1"/>
  <c r="F203" i="1"/>
  <c r="F202" i="1"/>
  <c r="F201" i="1"/>
  <c r="H158" i="1"/>
  <c r="H154" i="1"/>
  <c r="H153" i="1"/>
  <c r="H149" i="1"/>
  <c r="G96" i="1"/>
  <c r="F109" i="1"/>
  <c r="F12" i="1"/>
  <c r="F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C13" i="10" s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C118" i="2" s="1"/>
  <c r="L220" i="1"/>
  <c r="L238" i="1"/>
  <c r="F12" i="13"/>
  <c r="G12" i="13"/>
  <c r="L204" i="1"/>
  <c r="C18" i="10" s="1"/>
  <c r="L222" i="1"/>
  <c r="L240" i="1"/>
  <c r="F14" i="13"/>
  <c r="G14" i="13"/>
  <c r="L206" i="1"/>
  <c r="C20" i="10" s="1"/>
  <c r="L224" i="1"/>
  <c r="L242" i="1"/>
  <c r="F15" i="13"/>
  <c r="G15" i="13"/>
  <c r="L207" i="1"/>
  <c r="L225" i="1"/>
  <c r="L243" i="1"/>
  <c r="C21" i="10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H660" i="1" s="1"/>
  <c r="L358" i="1"/>
  <c r="L359" i="1"/>
  <c r="I366" i="1"/>
  <c r="J289" i="1"/>
  <c r="J308" i="1"/>
  <c r="J327" i="1"/>
  <c r="K289" i="1"/>
  <c r="G31" i="13" s="1"/>
  <c r="K308" i="1"/>
  <c r="K327" i="1"/>
  <c r="L275" i="1"/>
  <c r="E108" i="2" s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25" i="10" s="1"/>
  <c r="L340" i="1"/>
  <c r="L341" i="1"/>
  <c r="L254" i="1"/>
  <c r="L335" i="1"/>
  <c r="C11" i="13"/>
  <c r="C10" i="13"/>
  <c r="C9" i="13"/>
  <c r="L360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C19" i="10"/>
  <c r="L249" i="1"/>
  <c r="L331" i="1"/>
  <c r="L253" i="1"/>
  <c r="C24" i="10" s="1"/>
  <c r="L267" i="1"/>
  <c r="L268" i="1"/>
  <c r="L348" i="1"/>
  <c r="L349" i="1"/>
  <c r="I664" i="1"/>
  <c r="I669" i="1"/>
  <c r="L228" i="1"/>
  <c r="L246" i="1"/>
  <c r="F661" i="1"/>
  <c r="G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F31" i="2" s="1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7" i="2" s="1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D90" i="2" s="1"/>
  <c r="E87" i="2"/>
  <c r="F87" i="2"/>
  <c r="C88" i="2"/>
  <c r="D88" i="2"/>
  <c r="E88" i="2"/>
  <c r="F88" i="2"/>
  <c r="C89" i="2"/>
  <c r="C92" i="2"/>
  <c r="F92" i="2"/>
  <c r="F102" i="2" s="1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E117" i="2"/>
  <c r="E118" i="2"/>
  <c r="E119" i="2"/>
  <c r="E120" i="2"/>
  <c r="C121" i="2"/>
  <c r="E121" i="2"/>
  <c r="C122" i="2"/>
  <c r="E122" i="2"/>
  <c r="E123" i="2"/>
  <c r="C124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G162" i="2" s="1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50" i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I256" i="1" s="1"/>
  <c r="I270" i="1" s="1"/>
  <c r="J210" i="1"/>
  <c r="K210" i="1"/>
  <c r="K256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H407" i="1" s="1"/>
  <c r="H643" i="1" s="1"/>
  <c r="I400" i="1"/>
  <c r="F406" i="1"/>
  <c r="G406" i="1"/>
  <c r="H406" i="1"/>
  <c r="I406" i="1"/>
  <c r="F407" i="1"/>
  <c r="G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G460" i="1" s="1"/>
  <c r="H639" i="1" s="1"/>
  <c r="H459" i="1"/>
  <c r="F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F544" i="1" s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G640" i="1"/>
  <c r="H640" i="1"/>
  <c r="G641" i="1"/>
  <c r="G642" i="1"/>
  <c r="H642" i="1"/>
  <c r="G643" i="1"/>
  <c r="H644" i="1"/>
  <c r="G648" i="1"/>
  <c r="G649" i="1"/>
  <c r="H649" i="1"/>
  <c r="J649" i="1" s="1"/>
  <c r="G651" i="1"/>
  <c r="H651" i="1"/>
  <c r="G652" i="1"/>
  <c r="H652" i="1"/>
  <c r="J652" i="1" s="1"/>
  <c r="G653" i="1"/>
  <c r="H653" i="1"/>
  <c r="J653" i="1" s="1"/>
  <c r="H654" i="1"/>
  <c r="F191" i="1"/>
  <c r="L255" i="1"/>
  <c r="G159" i="2"/>
  <c r="C26" i="10"/>
  <c r="L327" i="1"/>
  <c r="L350" i="1"/>
  <c r="A31" i="12"/>
  <c r="G8" i="2"/>
  <c r="G161" i="2"/>
  <c r="E49" i="2"/>
  <c r="D18" i="13"/>
  <c r="C18" i="13" s="1"/>
  <c r="D15" i="13"/>
  <c r="C15" i="13" s="1"/>
  <c r="D17" i="13"/>
  <c r="C17" i="13" s="1"/>
  <c r="G158" i="2"/>
  <c r="G80" i="2"/>
  <c r="F77" i="2"/>
  <c r="F80" i="2" s="1"/>
  <c r="F61" i="2"/>
  <c r="F62" i="2" s="1"/>
  <c r="D49" i="2"/>
  <c r="F49" i="2"/>
  <c r="F18" i="2"/>
  <c r="G160" i="2"/>
  <c r="E143" i="2"/>
  <c r="G102" i="2"/>
  <c r="E102" i="2"/>
  <c r="F90" i="2"/>
  <c r="E61" i="2"/>
  <c r="E62" i="2" s="1"/>
  <c r="G61" i="2"/>
  <c r="D19" i="13"/>
  <c r="C19" i="13" s="1"/>
  <c r="D14" i="13"/>
  <c r="C14" i="13" s="1"/>
  <c r="E13" i="13"/>
  <c r="C13" i="13" s="1"/>
  <c r="G644" i="1" l="1"/>
  <c r="I459" i="1"/>
  <c r="I460" i="1" s="1"/>
  <c r="H641" i="1" s="1"/>
  <c r="J641" i="1" s="1"/>
  <c r="L613" i="1"/>
  <c r="I662" i="1"/>
  <c r="L538" i="1"/>
  <c r="L544" i="1" s="1"/>
  <c r="G157" i="2"/>
  <c r="G156" i="2"/>
  <c r="K502" i="1"/>
  <c r="K499" i="1"/>
  <c r="I368" i="1"/>
  <c r="H633" i="1" s="1"/>
  <c r="D29" i="13"/>
  <c r="C29" i="13" s="1"/>
  <c r="G660" i="1"/>
  <c r="F660" i="1"/>
  <c r="I660" i="1" s="1"/>
  <c r="L361" i="1"/>
  <c r="D126" i="2"/>
  <c r="D127" i="2" s="1"/>
  <c r="D144" i="2" s="1"/>
  <c r="K337" i="1"/>
  <c r="K351" i="1" s="1"/>
  <c r="C15" i="10"/>
  <c r="E114" i="2"/>
  <c r="F31" i="13"/>
  <c r="J337" i="1"/>
  <c r="J351" i="1" s="1"/>
  <c r="L289" i="1"/>
  <c r="C10" i="10"/>
  <c r="C123" i="2"/>
  <c r="H661" i="1"/>
  <c r="I661" i="1" s="1"/>
  <c r="G650" i="1"/>
  <c r="J650" i="1" s="1"/>
  <c r="H646" i="1"/>
  <c r="C11" i="10"/>
  <c r="H659" i="1"/>
  <c r="H663" i="1" s="1"/>
  <c r="H671" i="1" s="1"/>
  <c r="J651" i="1"/>
  <c r="K270" i="1"/>
  <c r="C131" i="2"/>
  <c r="G33" i="13"/>
  <c r="D7" i="13"/>
  <c r="C7" i="13" s="1"/>
  <c r="D6" i="13"/>
  <c r="C6" i="13" s="1"/>
  <c r="C117" i="2"/>
  <c r="J648" i="1"/>
  <c r="C17" i="10"/>
  <c r="C16" i="10"/>
  <c r="D12" i="13"/>
  <c r="C12" i="13" s="1"/>
  <c r="C120" i="2"/>
  <c r="L210" i="1"/>
  <c r="L256" i="1" s="1"/>
  <c r="L270" i="1" s="1"/>
  <c r="G631" i="1" s="1"/>
  <c r="J631" i="1" s="1"/>
  <c r="E8" i="13"/>
  <c r="C8" i="13" s="1"/>
  <c r="A22" i="12"/>
  <c r="C108" i="2"/>
  <c r="C114" i="2" s="1"/>
  <c r="C102" i="2"/>
  <c r="D61" i="2"/>
  <c r="D62" i="2" s="1"/>
  <c r="I191" i="1"/>
  <c r="I192" i="1" s="1"/>
  <c r="G629" i="1" s="1"/>
  <c r="J629" i="1" s="1"/>
  <c r="D31" i="2"/>
  <c r="D50" i="2" s="1"/>
  <c r="F51" i="1"/>
  <c r="H616" i="1" s="1"/>
  <c r="J616" i="1" s="1"/>
  <c r="C31" i="2"/>
  <c r="J619" i="1"/>
  <c r="E31" i="2"/>
  <c r="E50" i="2" s="1"/>
  <c r="D18" i="2"/>
  <c r="E18" i="2"/>
  <c r="G621" i="1"/>
  <c r="E90" i="2"/>
  <c r="E103" i="2" s="1"/>
  <c r="C69" i="2"/>
  <c r="C80" i="2" s="1"/>
  <c r="F139" i="1"/>
  <c r="C61" i="2"/>
  <c r="C62" i="2" s="1"/>
  <c r="F50" i="2"/>
  <c r="H51" i="1"/>
  <c r="H618" i="1" s="1"/>
  <c r="J618" i="1" s="1"/>
  <c r="G51" i="1"/>
  <c r="H617" i="1" s="1"/>
  <c r="J617" i="1" s="1"/>
  <c r="C18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H192" i="1" s="1"/>
  <c r="G628" i="1" s="1"/>
  <c r="J628" i="1" s="1"/>
  <c r="J270" i="1"/>
  <c r="G551" i="1"/>
  <c r="L433" i="1"/>
  <c r="G637" i="1" s="1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J624" i="1" s="1"/>
  <c r="G475" i="1"/>
  <c r="H622" i="1" s="1"/>
  <c r="J622" i="1" s="1"/>
  <c r="G337" i="1"/>
  <c r="G351" i="1" s="1"/>
  <c r="C23" i="10"/>
  <c r="F168" i="1"/>
  <c r="J139" i="1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J551" i="1"/>
  <c r="H551" i="1"/>
  <c r="C29" i="10"/>
  <c r="H139" i="1"/>
  <c r="L400" i="1"/>
  <c r="C138" i="2" s="1"/>
  <c r="L392" i="1"/>
  <c r="A13" i="12"/>
  <c r="F22" i="13"/>
  <c r="H25" i="13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L308" i="1"/>
  <c r="D5" i="13"/>
  <c r="E16" i="13"/>
  <c r="C49" i="2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H544" i="1"/>
  <c r="K550" i="1"/>
  <c r="F143" i="2"/>
  <c r="F144" i="2" s="1"/>
  <c r="C127" i="2" l="1"/>
  <c r="H666" i="1"/>
  <c r="K551" i="1"/>
  <c r="J621" i="1"/>
  <c r="C27" i="10"/>
  <c r="C28" i="10" s="1"/>
  <c r="D23" i="10" s="1"/>
  <c r="G634" i="1"/>
  <c r="J634" i="1" s="1"/>
  <c r="H647" i="1"/>
  <c r="J647" i="1" s="1"/>
  <c r="E144" i="2"/>
  <c r="J646" i="1"/>
  <c r="F659" i="1"/>
  <c r="F663" i="1" s="1"/>
  <c r="F666" i="1" s="1"/>
  <c r="C39" i="10"/>
  <c r="C50" i="2"/>
  <c r="C38" i="10"/>
  <c r="C103" i="2"/>
  <c r="C36" i="10"/>
  <c r="F192" i="1"/>
  <c r="G626" i="1" s="1"/>
  <c r="J626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144" i="2" l="1"/>
  <c r="D10" i="10"/>
  <c r="D26" i="10"/>
  <c r="D11" i="10"/>
  <c r="D19" i="10"/>
  <c r="D15" i="10"/>
  <c r="F671" i="1"/>
  <c r="C4" i="10" s="1"/>
  <c r="D12" i="10"/>
  <c r="D13" i="10"/>
  <c r="D21" i="10"/>
  <c r="D16" i="10"/>
  <c r="D27" i="10"/>
  <c r="D24" i="10"/>
  <c r="D22" i="10"/>
  <c r="D20" i="10"/>
  <c r="D18" i="10"/>
  <c r="C30" i="10"/>
  <c r="D17" i="10"/>
  <c r="D25" i="10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H655" i="1" l="1"/>
  <c r="D28" i="10"/>
  <c r="D40" i="10"/>
  <c r="D35" i="10"/>
  <c r="D38" i="10"/>
  <c r="D37" i="10"/>
  <c r="D36" i="10"/>
  <c r="I666" i="1"/>
  <c r="I671" i="1"/>
  <c r="C7" i="10" s="1"/>
  <c r="G671" i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<sst xmlns="http://schemas.openxmlformats.org/spreadsheetml/2006/main" count="3947" uniqueCount="914">
  <si>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</si>
  <si>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</si>
  <si>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</si>
  <si>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</si>
  <si>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</si>
  <si>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</si>
  <si>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</si>
  <si>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</si>
  <si>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</si>
  <si>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</si>
  <si>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</si>
  <si>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</si>
  <si>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</si>
  <si>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</si>
  <si>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</si>
  <si>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</si>
  <si>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</si>
  <si>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</si>
  <si>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</si>
  <si>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</si>
  <si>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</si>
  <si>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</si>
  <si>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</si>
  <si>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</si>
  <si>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</si>
  <si>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</si>
  <si>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</si>
  <si>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</si>
  <si>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</si>
  <si>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</si>
  <si>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</si>
  <si>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</si>
  <si>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</si>
  <si>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</si>
  <si>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</si>
  <si>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</si>
  <si>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</si>
  <si>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</si>
  <si>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</si>
  <si>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</si>
  <si>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</si>
  <si>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</si>
  <si>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</si>
  <si>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</si>
  <si>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</si>
  <si>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</si>
  <si>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</si>
  <si>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</si>
  <si>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</si>
  <si>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</si>
  <si>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</si>
  <si>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</si>
  <si>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</si>
  <si>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</si>
  <si>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</si>
  <si>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</si>
  <si>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</si>
  <si>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</si>
  <si>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</si>
  <si>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</si>
  <si>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</si>
  <si>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</si>
  <si>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</si>
  <si>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</si>
  <si>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</si>
  <si>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</si>
  <si>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</si>
  <si>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</si>
  <si>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</si>
  <si>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</si>
  <si>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</si>
  <si>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</si>
  <si>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</si>
  <si>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</si>
  <si>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</si>
  <si>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</si>
  <si>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</si>
  <si>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</si>
  <si>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</si>
  <si>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</si>
  <si>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</si>
  <si>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</si>
  <si>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</si>
  <si>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</si>
  <si>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</si>
  <si>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</si>
  <si>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</si>
  <si>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</si>
  <si>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</si>
  <si>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</si>
  <si>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</si>
  <si>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</si>
  <si>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</si>
  <si>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</si>
  <si>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</si>
  <si>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</si>
  <si>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</si>
  <si>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</si>
  <si>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</si>
  <si>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</si>
  <si>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</si>
  <si>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</si>
  <si>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</si>
  <si>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</si>
  <si>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</si>
  <si>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</si>
  <si>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</si>
  <si>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</si>
  <si>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</si>
  <si>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</si>
  <si>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</si>
  <si>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</si>
  <si>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</si>
  <si>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</si>
  <si>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</si>
  <si>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</si>
  <si>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</si>
  <si>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</si>
  <si>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</si>
  <si>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</si>
  <si>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</si>
  <si>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</si>
  <si>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</si>
  <si>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</si>
  <si>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</si>
  <si>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</si>
  <si>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</si>
  <si>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</si>
  <si>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</si>
  <si>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</si>
  <si>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</si>
  <si>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</si>
  <si>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</si>
  <si>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</si>
  <si>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</si>
  <si>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</si>
  <si>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</si>
  <si>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</si>
  <si>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</si>
  <si>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</si>
  <si>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</si>
  <si>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</si>
  <si>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</si>
  <si>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</si>
  <si>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</si>
  <si>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</si>
  <si>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</si>
  <si>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</si>
  <si>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</si>
  <si>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</si>
  <si>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</si>
  <si>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</si>
  <si>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</si>
  <si>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</si>
  <si>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</si>
  <si>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</si>
  <si>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</si>
  <si>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</si>
  <si>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</si>
  <si>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</si>
  <si>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</si>
  <si>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</si>
  <si>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</si>
  <si>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</si>
  <si>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</si>
  <si>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</si>
  <si>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</si>
  <si>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</si>
  <si>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</si>
  <si>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</si>
  <si>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</si>
  <si>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</si>
  <si>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</si>
  <si>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</si>
  <si>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</si>
  <si>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</si>
  <si>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</si>
  <si>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</si>
  <si>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</si>
  <si>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</si>
  <si>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</si>
  <si>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</si>
  <si>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</si>
  <si>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</si>
  <si>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</si>
  <si>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</si>
  <si>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</si>
  <si>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</si>
  <si>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</si>
  <si>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</si>
  <si>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</si>
  <si>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</si>
  <si>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</si>
  <si>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</si>
  <si>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</si>
  <si>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</si>
  <si>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</si>
  <si>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</si>
  <si>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</si>
  <si>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</si>
  <si>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</si>
  <si>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</si>
  <si>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</si>
  <si>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</si>
  <si>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</si>
  <si>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</si>
  <si>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</si>
  <si>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</si>
  <si>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</si>
  <si>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</si>
  <si>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</si>
  <si>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</si>
  <si>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</si>
  <si>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</si>
  <si>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</si>
  <si>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</si>
  <si>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</si>
  <si>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</si>
  <si>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</si>
  <si>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</si>
  <si>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</si>
  <si>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</si>
  <si>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</si>
  <si>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</si>
  <si>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</si>
  <si>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</si>
  <si>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</si>
  <si>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</si>
  <si>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</si>
  <si>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</si>
  <si>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</si>
  <si>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</si>
  <si>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</si>
  <si>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</si>
  <si>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</si>
  <si>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</si>
  <si>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</si>
  <si>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</si>
  <si>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</si>
  <si>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</si>
  <si>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</si>
  <si>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</si>
  <si>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</si>
  <si>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</si>
  <si>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</si>
  <si>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</si>
  <si>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</si>
  <si>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</si>
  <si>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</si>
  <si>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</si>
  <si>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</si>
  <si>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</si>
  <si>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</si>
  <si>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</si>
  <si>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</si>
  <si>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</si>
  <si>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</si>
  <si>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</si>
  <si>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</si>
  <si>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</si>
  <si>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</si>
  <si>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</si>
  <si>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</si>
  <si>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</si>
  <si>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</si>
  <si>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</si>
  <si>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</si>
  <si>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</si>
  <si>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</si>
  <si>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</si>
  <si>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</si>
  <si>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</si>
  <si>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</si>
  <si>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</si>
  <si>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</si>
  <si>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</si>
  <si>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</si>
  <si>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</si>
  <si>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</si>
  <si>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</si>
  <si>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</si>
  <si>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</si>
  <si>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</si>
  <si>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</si>
  <si>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</si>
  <si>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</si>
  <si>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</si>
  <si>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</si>
  <si>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</si>
  <si>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</si>
  <si>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</si>
  <si>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</si>
  <si>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</si>
  <si>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</si>
  <si>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</si>
  <si>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</si>
  <si>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</si>
  <si>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</si>
  <si>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</si>
  <si>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</si>
  <si>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</si>
  <si>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</si>
  <si>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</si>
  <si>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</si>
  <si>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</si>
  <si>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</si>
  <si>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</si>
  <si>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</si>
  <si>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</si>
  <si>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</si>
  <si>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</si>
  <si>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</si>
  <si>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</si>
  <si>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</si>
  <si>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</si>
  <si>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</si>
  <si>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</si>
  <si>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</si>
  <si>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</si>
  <si>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</si>
  <si>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</si>
  <si>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</si>
  <si>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</si>
  <si>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</si>
  <si>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</si>
  <si>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</si>
  <si>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</si>
  <si>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</si>
  <si>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</si>
  <si>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</si>
  <si>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</si>
  <si>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</si>
  <si>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</si>
  <si>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</si>
  <si>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</si>
  <si>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</si>
  <si>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</si>
  <si>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</si>
  <si>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</si>
  <si>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</si>
  <si>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</si>
  <si>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</si>
  <si>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</si>
  <si>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</si>
  <si>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</si>
  <si>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</si>
  <si>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</si>
  <si>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</si>
  <si>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</si>
  <si>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</si>
  <si>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</si>
  <si>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</si>
  <si>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</si>
  <si>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</si>
  <si>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</si>
  <si>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</si>
  <si>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</si>
  <si>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</si>
  <si>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</si>
  <si>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</si>
  <si>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</si>
  <si>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</si>
  <si>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</si>
  <si>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</si>
  <si>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</si>
  <si>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</si>
  <si>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</si>
  <si>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</si>
  <si>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</si>
  <si>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</si>
  <si>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</si>
  <si>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</si>
  <si>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</si>
  <si>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</si>
  <si>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</si>
  <si>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</si>
  <si>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</si>
  <si>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</si>
  <si>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</si>
  <si>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</si>
  <si>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</si>
  <si>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</si>
  <si>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</si>
  <si>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</si>
  <si>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</si>
  <si>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</si>
  <si>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</si>
  <si>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</si>
  <si>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</si>
  <si>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</si>
  <si>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</si>
  <si>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</si>
  <si>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</si>
  <si>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</si>
  <si>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</si>
  <si>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</si>
  <si>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</si>
  <si>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</si>
  <si>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</si>
  <si>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</si>
  <si>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</si>
  <si>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</si>
  <si>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</si>
  <si>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</si>
  <si>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</si>
  <si>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</si>
  <si>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</si>
  <si>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</si>
  <si>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</si>
  <si>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</si>
  <si>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</si>
  <si>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</si>
  <si>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</si>
  <si>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</si>
  <si>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</si>
  <si>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</si>
  <si>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</si>
  <si>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</si>
  <si>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</si>
  <si>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</si>
  <si>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</si>
  <si>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</si>
  <si>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</si>
  <si>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</si>
  <si>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</si>
  <si>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</si>
  <si>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</si>
  <si>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</si>
  <si>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</si>
  <si>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</si>
  <si>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</si>
  <si>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</si>
  <si>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</si>
  <si>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</si>
  <si>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</si>
  <si>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</si>
  <si>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</si>
  <si>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</si>
  <si>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</si>
  <si>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</si>
  <si>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</si>
  <si>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</si>
  <si>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</si>
  <si>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</si>
  <si>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</si>
  <si>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</si>
  <si>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</si>
  <si>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</si>
  <si>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</si>
  <si>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</si>
  <si>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</si>
  <si>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</si>
  <si>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</si>
  <si>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</si>
  <si>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</si>
  <si>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</si>
  <si>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</si>
  <si>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</si>
  <si>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</si>
  <si>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</si>
  <si>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</si>
  <si>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</si>
  <si>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</si>
  <si>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</si>
  <si>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</si>
  <si>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</si>
  <si>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</si>
  <si>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</si>
  <si>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</si>
  <si>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</si>
  <si>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</si>
  <si>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</si>
  <si>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</si>
  <si>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</si>
  <si>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</si>
  <si>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</si>
  <si>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</si>
  <si>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</si>
  <si>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</si>
  <si>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</si>
  <si>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</si>
  <si>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</si>
  <si>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</si>
  <si>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</si>
  <si>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</si>
  <si>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</si>
  <si>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</si>
  <si>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</si>
  <si>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</si>
  <si>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</si>
  <si>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</si>
  <si>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</si>
  <si>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</si>
  <si>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</si>
  <si>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</si>
  <si>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</si>
  <si>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</si>
  <si>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</si>
  <si>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</si>
  <si>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</si>
  <si>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</si>
  <si>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</si>
  <si>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</si>
  <si>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</si>
  <si>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</si>
  <si>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</si>
  <si>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</si>
  <si>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</si>
  <si>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</si>
  <si>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</si>
  <si>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</si>
  <si>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</si>
  <si>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</si>
  <si>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</si>
  <si>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</si>
  <si>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</si>
  <si>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</si>
  <si>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</si>
  <si>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</si>
  <si>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</si>
  <si>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</si>
  <si>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</si>
  <si>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</si>
  <si>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</si>
  <si>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</si>
  <si>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</si>
  <si>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</si>
  <si>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</si>
  <si>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</si>
  <si>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</si>
  <si>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</si>
  <si>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</si>
  <si>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</si>
  <si>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</si>
  <si>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</si>
  <si>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</si>
  <si>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</si>
  <si>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</si>
  <si>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</si>
  <si>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</si>
  <si>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</si>
  <si>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</si>
  <si>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</si>
  <si>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</si>
  <si>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</si>
  <si>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</si>
  <si>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</si>
  <si>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</si>
  <si>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</si>
  <si>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</si>
  <si>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</si>
  <si>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</si>
  <si>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</si>
  <si>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</si>
  <si>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</si>
  <si>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</si>
  <si>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</si>
  <si>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</si>
  <si>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</si>
  <si>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</si>
  <si>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</si>
  <si>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</si>
  <si>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</si>
  <si>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</si>
  <si>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</si>
  <si>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</si>
  <si>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</si>
  <si>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</si>
  <si>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</si>
  <si>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</si>
  <si>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</si>
  <si>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</si>
  <si>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</si>
  <si>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</si>
  <si>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</si>
  <si>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</si>
  <si>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</si>
  <si>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</si>
  <si>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</si>
  <si>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</si>
  <si>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</si>
  <si>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</si>
  <si>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</si>
  <si>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</si>
  <si>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</si>
  <si>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</si>
  <si>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</si>
  <si>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</si>
  <si>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</si>
  <si>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</si>
  <si>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</si>
  <si>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</si>
  <si>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</si>
  <si>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</si>
  <si>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</si>
  <si>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</si>
  <si>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</si>
  <si>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</si>
  <si>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</si>
  <si>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</si>
  <si>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</si>
  <si>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</si>
  <si>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</si>
  <si>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</si>
  <si>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</si>
  <si>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</si>
  <si>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</si>
  <si>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</si>
  <si>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</si>
  <si>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</si>
  <si>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</si>
  <si>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</si>
  <si>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</si>
  <si>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</si>
  <si>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</si>
  <si>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</si>
  <si>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</si>
  <si>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</si>
  <si>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</si>
  <si>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</si>
  <si>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</si>
  <si>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</si>
  <si>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</si>
  <si>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</si>
  <si>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</si>
  <si>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</si>
  <si>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</si>
  <si>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</si>
  <si>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</si>
  <si>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</si>
  <si>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</si>
  <si>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</si>
  <si>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</si>
  <si>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</si>
  <si>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</si>
  <si>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</si>
  <si>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</si>
  <si>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</si>
  <si>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</si>
  <si>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</si>
  <si>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</si>
  <si>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</si>
  <si>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</si>
  <si>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</si>
  <si>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</si>
  <si>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</si>
  <si>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</si>
  <si>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</si>
  <si>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</si>
  <si>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</si>
  <si>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</si>
  <si>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</si>
  <si>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</si>
  <si>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</si>
  <si>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</si>
  <si>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</si>
  <si>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</si>
  <si>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</si>
  <si>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</si>
  <si>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</si>
  <si>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</si>
  <si>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</si>
  <si>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</si>
  <si>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</si>
  <si>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</si>
  <si>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</si>
  <si>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</si>
  <si>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</si>
  <si>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</si>
  <si>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</si>
  <si>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</si>
  <si>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</si>
  <si>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</si>
  <si>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</si>
  <si>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</si>
  <si>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</si>
  <si>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</si>
  <si>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</si>
  <si>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</si>
  <si>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</si>
  <si>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</si>
  <si>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</si>
  <si>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</si>
  <si>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</si>
  <si>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</si>
  <si>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</si>
  <si>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</si>
  <si>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</si>
  <si>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</si>
  <si>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</si>
  <si>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</si>
  <si>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</si>
  <si>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</si>
  <si>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</si>
  <si>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</si>
  <si>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</si>
  <si>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</si>
  <si>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</si>
  <si>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</si>
  <si>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</si>
  <si>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</si>
  <si>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</si>
  <si>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</si>
  <si>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</si>
  <si>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</si>
  <si>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</si>
  <si>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</si>
  <si>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</si>
  <si>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</si>
  <si>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</si>
  <si>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</si>
  <si>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</si>
  <si>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</si>
  <si>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</si>
  <si>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</si>
  <si>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</si>
  <si>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</si>
  <si>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</si>
  <si>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</si>
  <si>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</si>
  <si>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</si>
  <si>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</si>
  <si>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</si>
  <si>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</si>
  <si>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</si>
  <si>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</si>
  <si>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</si>
  <si>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</si>
  <si>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</si>
  <si>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</si>
  <si>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</si>
  <si>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</si>
  <si>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</si>
  <si>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</si>
  <si>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</si>
  <si>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</si>
  <si>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</si>
  <si>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</si>
  <si>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</si>
  <si>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</si>
  <si>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</si>
  <si>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</si>
  <si>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</si>
  <si>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</si>
  <si>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</si>
  <si>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</si>
  <si>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</si>
  <si>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</si>
  <si>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</si>
  <si>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</si>
  <si>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</si>
  <si>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</si>
  <si>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</si>
  <si>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</si>
  <si>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</si>
  <si>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</si>
  <si>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</si>
  <si>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</si>
  <si>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</si>
  <si>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</si>
  <si>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</si>
  <si>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</si>
  <si>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</si>
  <si>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</si>
  <si>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</si>
  <si>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</si>
  <si>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</si>
  <si>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</si>
  <si>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</si>
  <si>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</si>
  <si>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</si>
  <si>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</si>
  <si>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</si>
  <si>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</si>
  <si>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</si>
  <si>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</si>
  <si>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</si>
  <si>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</si>
  <si>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</si>
  <si>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</si>
  <si>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</si>
  <si>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</si>
  <si>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</si>
  <si>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</si>
  <si>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</si>
  <si>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</si>
  <si>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</si>
  <si>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</si>
  <si>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</si>
  <si>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</si>
  <si>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</si>
  <si>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</si>
  <si>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</si>
  <si>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</si>
  <si>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</si>
  <si>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</si>
  <si>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</si>
  <si>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</si>
  <si>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</si>
  <si>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</si>
  <si>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</si>
  <si>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</si>
  <si>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</si>
  <si>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</si>
  <si>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</si>
  <si>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</si>
  <si>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</si>
  <si>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</si>
  <si>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</si>
  <si>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</si>
  <si>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</si>
  <si>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</si>
  <si>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</si>
  <si>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</si>
  <si>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</si>
  <si>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</si>
  <si>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</si>
  <si>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</si>
  <si>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</si>
  <si>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</si>
  <si>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</si>
  <si>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</si>
  <si>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</si>
  <si>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</si>
  <si>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</si>
  <si>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</si>
  <si>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</si>
  <si>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</si>
  <si>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</si>
  <si>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</si>
  <si>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</si>
  <si>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</si>
  <si>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</si>
  <si>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</si>
  <si>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</si>
  <si>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</si>
  <si>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</si>
  <si>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</si>
  <si>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</si>
  <si>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</si>
  <si>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</si>
  <si>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</si>
  <si>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</si>
  <si>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</si>
  <si>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</si>
  <si>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</si>
  <si>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</si>
  <si>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</si>
  <si>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</si>
  <si>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</si>
  <si>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</si>
  <si>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</si>
  <si>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</si>
  <si>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</si>
  <si>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</si>
  <si>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</si>
  <si>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</si>
  <si>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</si>
  <si>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</si>
  <si>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</si>
  <si>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</si>
  <si>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</si>
  <si>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</si>
  <si>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</si>
  <si>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</si>
  <si>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</si>
  <si>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</si>
  <si>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</si>
  <si>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</si>
  <si>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</si>
  <si>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</si>
  <si>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</si>
  <si>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</si>
  <si>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</si>
  <si>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</si>
  <si>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</si>
  <si>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</si>
  <si>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</si>
  <si>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</si>
  <si>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</si>
  <si>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</si>
  <si>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</si>
  <si>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</si>
  <si>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</si>
  <si>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</si>
  <si>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</si>
  <si>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</si>
  <si>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</si>
  <si>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</si>
  <si>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</si>
  <si>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</si>
  <si>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</si>
  <si>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</si>
  <si>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</si>
  <si>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</si>
  <si>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</si>
  <si>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</si>
  <si>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</si>
  <si>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</si>
  <si>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</si>
  <si>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</si>
  <si>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</si>
  <si>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</si>
  <si>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</si>
  <si>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</si>
  <si>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</si>
  <si>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</si>
  <si>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</si>
  <si>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</si>
  <si>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Westmoreland</t>
  </si>
  <si>
    <t>08/07</t>
  </si>
  <si>
    <t>08/17</t>
  </si>
  <si>
    <t>8/10</t>
  </si>
  <si>
    <t>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</si>
</sst>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topLeftCell="A9" zoomScale="80" zoomScaleNormal="80" workbookViewId="0">
      <selection activeCell="H535" sqref="H535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563</v>
      </c>
      <c r="C2" s="21">
        <v>563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10657.25-41309.84</f>
        <v>-30652.589999999997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7456.13</v>
      </c>
      <c r="G10" s="18"/>
      <c r="H10" s="18"/>
      <c r="I10" s="18"/>
      <c r="J10" s="67">
        <f>SUM(I439)</f>
        <v>168457.51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788.27+42472.56</f>
        <v>43260.829999999994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3653.16</v>
      </c>
      <c r="G13" s="18">
        <v>2447.61</v>
      </c>
      <c r="H13" s="18">
        <v>43759.21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42.5</v>
      </c>
      <c r="G14" s="18">
        <v>1113.8800000000001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23760.03</v>
      </c>
      <c r="G19" s="41">
        <f>SUM(G9:G18)</f>
        <v>3561.4900000000002</v>
      </c>
      <c r="H19" s="41">
        <f>SUM(H9:H18)</f>
        <v>43759.21</v>
      </c>
      <c r="I19" s="41">
        <f>SUM(I9:I18)</f>
        <v>0</v>
      </c>
      <c r="J19" s="41">
        <f>SUM(J9:J18)</f>
        <v>168457.51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788.27</v>
      </c>
      <c r="H22" s="18">
        <v>42472.56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13686.37</v>
      </c>
      <c r="G24" s="18">
        <v>104.34</v>
      </c>
      <c r="H24" s="18">
        <v>856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5745.26</v>
      </c>
      <c r="G28" s="18">
        <v>1516.06</v>
      </c>
      <c r="H28" s="18">
        <v>430.65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1152.82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19431.63</v>
      </c>
      <c r="G32" s="41">
        <f>SUM(G22:G31)</f>
        <v>3561.49</v>
      </c>
      <c r="H32" s="41">
        <f>SUM(H22:H31)</f>
        <v>43759.21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4044.6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284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168457.51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-0.2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4328.4000000000005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168457.51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23760.030000000002</v>
      </c>
      <c r="G51" s="41">
        <f>G50+G32</f>
        <v>3561.49</v>
      </c>
      <c r="H51" s="41">
        <f>H50+H32</f>
        <v>43759.21</v>
      </c>
      <c r="I51" s="41">
        <f>I50+I32</f>
        <v>0</v>
      </c>
      <c r="J51" s="41">
        <f>J50+J32</f>
        <v>168457.51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1941001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1941001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100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1946.78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1946.78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549.12</v>
      </c>
      <c r="G95" s="18"/>
      <c r="H95" s="18"/>
      <c r="I95" s="18"/>
      <c r="J95" s="18">
        <f>2.36+17.99</f>
        <v>20.349999999999998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42848.91+201.65+2295.2+225</f>
        <v>45570.76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1434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3897.69+3904.73</f>
        <v>7802.42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9785.5400000000009</v>
      </c>
      <c r="G110" s="41">
        <f>SUM(G95:G109)</f>
        <v>45570.76</v>
      </c>
      <c r="H110" s="41">
        <f>SUM(H95:H109)</f>
        <v>0</v>
      </c>
      <c r="I110" s="41">
        <f>SUM(I95:I109)</f>
        <v>0</v>
      </c>
      <c r="J110" s="41">
        <f>SUM(J95:J109)</f>
        <v>20.349999999999998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1952833.32</v>
      </c>
      <c r="G111" s="41">
        <f>G59+G110</f>
        <v>45570.76</v>
      </c>
      <c r="H111" s="41">
        <f>H59+H78+H93+H110</f>
        <v>0</v>
      </c>
      <c r="I111" s="41">
        <f>I59+I110</f>
        <v>0</v>
      </c>
      <c r="J111" s="41">
        <f>J59+J110</f>
        <v>20.349999999999998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613868.12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453595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531.88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1390.68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1069385.68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28830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23043.48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848.32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51873.479999999996</v>
      </c>
      <c r="G135" s="41">
        <f>SUM(G122:G134)</f>
        <v>848.32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1121259.1599999999</v>
      </c>
      <c r="G139" s="41">
        <f>G120+SUM(G135:G136)</f>
        <v>848.32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f>0.03+2116.35+10252.24</f>
        <v>12368.619999999999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1526.52+17060.54</f>
        <v>18587.060000000001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154.83+5765.56</f>
        <v>5920.39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26946.32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90+487.33+40.49+42995.97+882.64</f>
        <v>44496.43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28833.49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22719.35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51552.84</v>
      </c>
      <c r="G161" s="41">
        <f>SUM(G149:G160)</f>
        <v>26946.32</v>
      </c>
      <c r="H161" s="41">
        <f>SUM(H149:H160)</f>
        <v>81372.5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51552.84</v>
      </c>
      <c r="G168" s="41">
        <f>G146+G161+SUM(G162:G167)</f>
        <v>26946.32</v>
      </c>
      <c r="H168" s="41">
        <f>H146+H161+SUM(H162:H167)</f>
        <v>81372.5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39019.480000000003</v>
      </c>
      <c r="H178" s="18"/>
      <c r="I178" s="18"/>
      <c r="J178" s="18">
        <f>15000+10753</f>
        <v>25753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39019.480000000003</v>
      </c>
      <c r="H182" s="41">
        <f>SUM(H178:H181)</f>
        <v>0</v>
      </c>
      <c r="I182" s="41">
        <f>SUM(I178:I181)</f>
        <v>0</v>
      </c>
      <c r="J182" s="41">
        <f>SUM(J178:J181)</f>
        <v>25753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16000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16000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16000</v>
      </c>
      <c r="G191" s="41">
        <f>G182+SUM(G187:G190)</f>
        <v>39019.480000000003</v>
      </c>
      <c r="H191" s="41">
        <f>+H182+SUM(H187:H190)</f>
        <v>0</v>
      </c>
      <c r="I191" s="41">
        <f>I176+I182+SUM(I187:I190)</f>
        <v>0</v>
      </c>
      <c r="J191" s="41">
        <f>J182</f>
        <v>25753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3141645.32</v>
      </c>
      <c r="G192" s="47">
        <f>G111+G139+G168+G191</f>
        <v>112384.88</v>
      </c>
      <c r="H192" s="47">
        <f>H111+H139+H168+H191</f>
        <v>81372.5</v>
      </c>
      <c r="I192" s="47">
        <f>I111+I139+I168+I191</f>
        <v>0</v>
      </c>
      <c r="J192" s="47">
        <f>J111+J139+J191</f>
        <v>25773.35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615936.35</v>
      </c>
      <c r="G196" s="18">
        <v>254928.87</v>
      </c>
      <c r="H196" s="18">
        <v>109.03</v>
      </c>
      <c r="I196" s="18">
        <v>16266.44</v>
      </c>
      <c r="J196" s="18">
        <v>3176.25</v>
      </c>
      <c r="K196" s="18"/>
      <c r="L196" s="19">
        <f>SUM(F196:K196)</f>
        <v>890416.94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105907.55</v>
      </c>
      <c r="G197" s="18">
        <v>58284.59</v>
      </c>
      <c r="H197" s="18">
        <v>112988.56</v>
      </c>
      <c r="I197" s="18">
        <v>1577.23</v>
      </c>
      <c r="J197" s="18"/>
      <c r="K197" s="18"/>
      <c r="L197" s="19">
        <f>SUM(F197:K197)</f>
        <v>278757.93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12870.01</v>
      </c>
      <c r="G199" s="18">
        <v>2325.6999999999998</v>
      </c>
      <c r="H199" s="18">
        <f>2354.25+1724.6</f>
        <v>4078.85</v>
      </c>
      <c r="I199" s="18">
        <v>1451.15</v>
      </c>
      <c r="J199" s="18">
        <v>173</v>
      </c>
      <c r="K199" s="18">
        <v>2234</v>
      </c>
      <c r="L199" s="19">
        <f>SUM(F199:K199)</f>
        <v>23132.71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20401.42+22086.53</f>
        <v>42487.95</v>
      </c>
      <c r="G201" s="18">
        <f>1632.28+1767.15</f>
        <v>3399.4300000000003</v>
      </c>
      <c r="H201" s="18">
        <f>1664.66+5035+45180.41+75+21035.75</f>
        <v>72990.820000000007</v>
      </c>
      <c r="I201" s="18">
        <f>438.34+321.05</f>
        <v>759.39</v>
      </c>
      <c r="J201" s="18"/>
      <c r="K201" s="18"/>
      <c r="L201" s="19">
        <f t="shared" ref="L201:L207" si="0">SUM(F201:K201)</f>
        <v>119637.59000000001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750+38399.92</f>
        <v>39149.919999999998</v>
      </c>
      <c r="G202" s="18">
        <f>165.97+5900+14600.35</f>
        <v>20666.32</v>
      </c>
      <c r="H202" s="18">
        <v>5119.43</v>
      </c>
      <c r="I202" s="18">
        <f>948.22+2052.67</f>
        <v>3000.8900000000003</v>
      </c>
      <c r="J202" s="18"/>
      <c r="K202" s="18"/>
      <c r="L202" s="19">
        <f t="shared" si="0"/>
        <v>67936.56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455.82+2000</f>
        <v>2455.8200000000002</v>
      </c>
      <c r="G203" s="18">
        <f>76.76+160+800</f>
        <v>1036.76</v>
      </c>
      <c r="H203" s="18">
        <f>152.18+100+120+6300+100+166496</f>
        <v>173268.18</v>
      </c>
      <c r="I203" s="18">
        <v>598.52</v>
      </c>
      <c r="J203" s="18"/>
      <c r="K203" s="18"/>
      <c r="L203" s="19">
        <f t="shared" si="0"/>
        <v>177359.27999999997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101879.44</v>
      </c>
      <c r="G204" s="18">
        <v>38552.07</v>
      </c>
      <c r="H204" s="18">
        <v>10251.76</v>
      </c>
      <c r="I204" s="18">
        <f>2742.05+234.29</f>
        <v>2976.34</v>
      </c>
      <c r="J204" s="18"/>
      <c r="K204" s="18">
        <v>89</v>
      </c>
      <c r="L204" s="19">
        <f t="shared" si="0"/>
        <v>153748.61000000002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52197.78</v>
      </c>
      <c r="G206" s="18">
        <v>27645.14</v>
      </c>
      <c r="H206" s="18">
        <v>96480.27</v>
      </c>
      <c r="I206" s="18">
        <v>62910.03</v>
      </c>
      <c r="J206" s="18"/>
      <c r="K206" s="18"/>
      <c r="L206" s="19">
        <f t="shared" si="0"/>
        <v>239233.22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127652.25+37929.01+2837.2+2057</f>
        <v>170475.46000000002</v>
      </c>
      <c r="I207" s="18"/>
      <c r="J207" s="18"/>
      <c r="K207" s="18"/>
      <c r="L207" s="19">
        <f t="shared" si="0"/>
        <v>170475.46000000002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7.02</v>
      </c>
      <c r="H208" s="18">
        <v>1364.5</v>
      </c>
      <c r="I208" s="18"/>
      <c r="J208" s="18"/>
      <c r="K208" s="18"/>
      <c r="L208" s="19">
        <f>SUM(F208:K208)</f>
        <v>1371.52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972884.82000000007</v>
      </c>
      <c r="G210" s="41">
        <f t="shared" si="1"/>
        <v>406845.9</v>
      </c>
      <c r="H210" s="41">
        <f t="shared" si="1"/>
        <v>647126.8600000001</v>
      </c>
      <c r="I210" s="41">
        <f t="shared" si="1"/>
        <v>89539.99</v>
      </c>
      <c r="J210" s="41">
        <f t="shared" si="1"/>
        <v>3349.25</v>
      </c>
      <c r="K210" s="41">
        <f t="shared" si="1"/>
        <v>2323</v>
      </c>
      <c r="L210" s="41">
        <f t="shared" si="1"/>
        <v>2122069.8200000003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643133.65</v>
      </c>
      <c r="I232" s="18"/>
      <c r="J232" s="18"/>
      <c r="K232" s="18"/>
      <c r="L232" s="19">
        <f>SUM(F232:K232)</f>
        <v>643133.65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188519.83</v>
      </c>
      <c r="I233" s="18"/>
      <c r="J233" s="18"/>
      <c r="K233" s="18"/>
      <c r="L233" s="19">
        <f>SUM(F233:K233)</f>
        <v>188519.83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44727.86</v>
      </c>
      <c r="I243" s="18"/>
      <c r="J243" s="18"/>
      <c r="K243" s="18"/>
      <c r="L243" s="19">
        <f t="shared" si="4"/>
        <v>44727.86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876381.34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876381.34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972884.82000000007</v>
      </c>
      <c r="G256" s="41">
        <f t="shared" si="8"/>
        <v>406845.9</v>
      </c>
      <c r="H256" s="41">
        <f t="shared" si="8"/>
        <v>1523508.2000000002</v>
      </c>
      <c r="I256" s="41">
        <f t="shared" si="8"/>
        <v>89539.99</v>
      </c>
      <c r="J256" s="41">
        <f t="shared" si="8"/>
        <v>3349.25</v>
      </c>
      <c r="K256" s="41">
        <f t="shared" si="8"/>
        <v>2323</v>
      </c>
      <c r="L256" s="41">
        <f t="shared" si="8"/>
        <v>2998451.16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87000</v>
      </c>
      <c r="L259" s="19">
        <f>SUM(F259:K259)</f>
        <v>87000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18827.5</v>
      </c>
      <c r="L260" s="19">
        <f>SUM(F260:K260)</f>
        <v>18827.5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39019.480000000003</v>
      </c>
      <c r="L262" s="19">
        <f>SUM(F262:K262)</f>
        <v>39019.480000000003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f>15000+10753</f>
        <v>25753</v>
      </c>
      <c r="L265" s="19">
        <f t="shared" si="9"/>
        <v>25753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170599.98</v>
      </c>
      <c r="L269" s="41">
        <f t="shared" si="9"/>
        <v>170599.98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972884.82000000007</v>
      </c>
      <c r="G270" s="42">
        <f t="shared" si="11"/>
        <v>406845.9</v>
      </c>
      <c r="H270" s="42">
        <f t="shared" si="11"/>
        <v>1523508.2000000002</v>
      </c>
      <c r="I270" s="42">
        <f t="shared" si="11"/>
        <v>89539.99</v>
      </c>
      <c r="J270" s="42">
        <f t="shared" si="11"/>
        <v>3349.25</v>
      </c>
      <c r="K270" s="42">
        <f t="shared" si="11"/>
        <v>172922.98</v>
      </c>
      <c r="L270" s="42">
        <f t="shared" si="11"/>
        <v>3169051.14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13750.02</v>
      </c>
      <c r="G275" s="18">
        <f>1051.93+48.71</f>
        <v>1100.6400000000001</v>
      </c>
      <c r="H275" s="18"/>
      <c r="I275" s="18">
        <v>2042</v>
      </c>
      <c r="J275" s="18">
        <v>8153.75</v>
      </c>
      <c r="K275" s="18"/>
      <c r="L275" s="19">
        <f>SUM(F275:K275)</f>
        <v>25046.41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13096.07</v>
      </c>
      <c r="G276" s="18">
        <f>1001.88+45.85</f>
        <v>1047.73</v>
      </c>
      <c r="H276" s="18"/>
      <c r="I276" s="18">
        <f>426.27+40.49+374.86+460.98</f>
        <v>1302.5999999999999</v>
      </c>
      <c r="J276" s="18">
        <v>8244</v>
      </c>
      <c r="K276" s="18"/>
      <c r="L276" s="19">
        <f>SUM(F276:K276)</f>
        <v>23690.400000000001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1350</v>
      </c>
      <c r="G278" s="18">
        <f>103.27+4.72</f>
        <v>107.99</v>
      </c>
      <c r="H278" s="18"/>
      <c r="I278" s="18"/>
      <c r="J278" s="18"/>
      <c r="K278" s="18"/>
      <c r="L278" s="19">
        <f>SUM(F278:K278)</f>
        <v>1457.99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300</v>
      </c>
      <c r="I280" s="18"/>
      <c r="J280" s="18"/>
      <c r="K280" s="18"/>
      <c r="L280" s="19">
        <f t="shared" ref="L280:L286" si="12">SUM(F280:K280)</f>
        <v>300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1875</v>
      </c>
      <c r="G281" s="18">
        <f>143.44+0.01+97.91+113.96+6.55</f>
        <v>361.87</v>
      </c>
      <c r="H281" s="18">
        <f>2196+596.82+90+18373.48</f>
        <v>21256.3</v>
      </c>
      <c r="I281" s="18">
        <f>250+625</f>
        <v>875</v>
      </c>
      <c r="J281" s="18"/>
      <c r="K281" s="18"/>
      <c r="L281" s="19">
        <f t="shared" si="12"/>
        <v>24368.17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v>1028</v>
      </c>
      <c r="I282" s="18"/>
      <c r="J282" s="18"/>
      <c r="K282" s="18"/>
      <c r="L282" s="19">
        <f t="shared" si="12"/>
        <v>1028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>
        <v>1728</v>
      </c>
      <c r="K283" s="18"/>
      <c r="L283" s="19">
        <f t="shared" si="12"/>
        <v>1728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3753.53</v>
      </c>
      <c r="L284" s="19">
        <f t="shared" si="12"/>
        <v>3753.53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30071.09</v>
      </c>
      <c r="G289" s="42">
        <f t="shared" si="13"/>
        <v>2618.2299999999996</v>
      </c>
      <c r="H289" s="42">
        <f t="shared" si="13"/>
        <v>22584.3</v>
      </c>
      <c r="I289" s="42">
        <f t="shared" si="13"/>
        <v>4219.6000000000004</v>
      </c>
      <c r="J289" s="42">
        <f t="shared" si="13"/>
        <v>18125.75</v>
      </c>
      <c r="K289" s="42">
        <f t="shared" si="13"/>
        <v>3753.53</v>
      </c>
      <c r="L289" s="41">
        <f t="shared" si="13"/>
        <v>81372.5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30071.09</v>
      </c>
      <c r="G337" s="41">
        <f t="shared" si="20"/>
        <v>2618.2299999999996</v>
      </c>
      <c r="H337" s="41">
        <f t="shared" si="20"/>
        <v>22584.3</v>
      </c>
      <c r="I337" s="41">
        <f t="shared" si="20"/>
        <v>4219.6000000000004</v>
      </c>
      <c r="J337" s="41">
        <f t="shared" si="20"/>
        <v>18125.75</v>
      </c>
      <c r="K337" s="41">
        <f t="shared" si="20"/>
        <v>3753.53</v>
      </c>
      <c r="L337" s="41">
        <f t="shared" si="20"/>
        <v>81372.5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30071.09</v>
      </c>
      <c r="G351" s="41">
        <f>G337</f>
        <v>2618.2299999999996</v>
      </c>
      <c r="H351" s="41">
        <f>H337</f>
        <v>22584.3</v>
      </c>
      <c r="I351" s="41">
        <f>I337</f>
        <v>4219.6000000000004</v>
      </c>
      <c r="J351" s="41">
        <f>J337</f>
        <v>18125.75</v>
      </c>
      <c r="K351" s="47">
        <f>K337+K350</f>
        <v>3753.53</v>
      </c>
      <c r="L351" s="41">
        <f>L337+L350</f>
        <v>81372.5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31632.73</v>
      </c>
      <c r="G357" s="18">
        <f>13635+542+62.12+97.39+2148.32+2140.41+609.23</f>
        <v>19234.47</v>
      </c>
      <c r="H357" s="18">
        <f>898.57+104.34</f>
        <v>1002.9100000000001</v>
      </c>
      <c r="I357" s="18">
        <f>5407.15+54054.56+325</f>
        <v>59786.71</v>
      </c>
      <c r="J357" s="18">
        <v>519.05999999999995</v>
      </c>
      <c r="K357" s="18">
        <v>209</v>
      </c>
      <c r="L357" s="13">
        <f>SUM(F357:K357)</f>
        <v>112384.88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31632.73</v>
      </c>
      <c r="G361" s="47">
        <f t="shared" si="22"/>
        <v>19234.47</v>
      </c>
      <c r="H361" s="47">
        <f t="shared" si="22"/>
        <v>1002.9100000000001</v>
      </c>
      <c r="I361" s="47">
        <f t="shared" si="22"/>
        <v>59786.71</v>
      </c>
      <c r="J361" s="47">
        <f t="shared" si="22"/>
        <v>519.05999999999995</v>
      </c>
      <c r="K361" s="47">
        <f t="shared" si="22"/>
        <v>209</v>
      </c>
      <c r="L361" s="47">
        <f t="shared" si="22"/>
        <v>112384.88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54054.559999999998</v>
      </c>
      <c r="G366" s="18"/>
      <c r="H366" s="18"/>
      <c r="I366" s="56">
        <f>SUM(F366:H366)</f>
        <v>54054.559999999998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5407.15+325</f>
        <v>5732.15</v>
      </c>
      <c r="G367" s="63"/>
      <c r="H367" s="63"/>
      <c r="I367" s="56">
        <f>SUM(F367:H367)</f>
        <v>5732.15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59786.71</v>
      </c>
      <c r="G368" s="47">
        <f>SUM(G366:G367)</f>
        <v>0</v>
      </c>
      <c r="H368" s="47">
        <f>SUM(H366:H367)</f>
        <v>0</v>
      </c>
      <c r="I368" s="47">
        <f>SUM(I366:I367)</f>
        <v>59786.71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15000</v>
      </c>
      <c r="H388" s="18">
        <v>2.36</v>
      </c>
      <c r="I388" s="18"/>
      <c r="J388" s="24" t="s">
        <v>289</v>
      </c>
      <c r="K388" s="24" t="s">
        <v>289</v>
      </c>
      <c r="L388" s="56">
        <f t="shared" si="25"/>
        <v>15002.36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15000</v>
      </c>
      <c r="H392" s="139">
        <f>SUM(H386:H391)</f>
        <v>2.36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15002.36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10753</v>
      </c>
      <c r="H396" s="18">
        <v>17.989999999999998</v>
      </c>
      <c r="I396" s="18"/>
      <c r="J396" s="24" t="s">
        <v>289</v>
      </c>
      <c r="K396" s="24" t="s">
        <v>289</v>
      </c>
      <c r="L396" s="56">
        <f t="shared" si="26"/>
        <v>10770.99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10753</v>
      </c>
      <c r="H400" s="47">
        <f>SUM(H394:H399)</f>
        <v>17.989999999999998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10770.99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25753</v>
      </c>
      <c r="H407" s="47">
        <f>H392+H400+H406</f>
        <v>20.349999999999998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25773.35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32056.03</v>
      </c>
      <c r="G439" s="18">
        <v>136401.48000000001</v>
      </c>
      <c r="H439" s="18"/>
      <c r="I439" s="56">
        <f t="shared" si="33"/>
        <v>168457.51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32056.03</v>
      </c>
      <c r="G445" s="13">
        <f>SUM(G438:G444)</f>
        <v>136401.48000000001</v>
      </c>
      <c r="H445" s="13">
        <f>SUM(H438:H444)</f>
        <v>0</v>
      </c>
      <c r="I445" s="13">
        <f>SUM(I438:I444)</f>
        <v>168457.51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32056.03</v>
      </c>
      <c r="G458" s="18">
        <v>136401.48000000001</v>
      </c>
      <c r="H458" s="18"/>
      <c r="I458" s="56">
        <f t="shared" si="34"/>
        <v>168457.51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32056.03</v>
      </c>
      <c r="G459" s="83">
        <f>SUM(G453:G458)</f>
        <v>136401.48000000001</v>
      </c>
      <c r="H459" s="83">
        <f>SUM(H453:H458)</f>
        <v>0</v>
      </c>
      <c r="I459" s="83">
        <f>SUM(I453:I458)</f>
        <v>168457.51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32056.03</v>
      </c>
      <c r="G460" s="42">
        <f>G451+G459</f>
        <v>136401.48000000001</v>
      </c>
      <c r="H460" s="42">
        <f>H451+H459</f>
        <v>0</v>
      </c>
      <c r="I460" s="42">
        <f>I451+I459</f>
        <v>168457.51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31734.22</v>
      </c>
      <c r="G464" s="18">
        <v>0</v>
      </c>
      <c r="H464" s="18">
        <v>0</v>
      </c>
      <c r="I464" s="18">
        <v>0</v>
      </c>
      <c r="J464" s="18">
        <v>142684.16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3141645.32</v>
      </c>
      <c r="G467" s="18">
        <v>112384.88</v>
      </c>
      <c r="H467" s="18">
        <v>81372.5</v>
      </c>
      <c r="I467" s="18">
        <v>0</v>
      </c>
      <c r="J467" s="18">
        <f>15000+2.36+10753+17.99</f>
        <v>25773.350000000002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3141645.32</v>
      </c>
      <c r="G469" s="53">
        <f>SUM(G467:G468)</f>
        <v>112384.88</v>
      </c>
      <c r="H469" s="53">
        <f>SUM(H467:H468)</f>
        <v>81372.5</v>
      </c>
      <c r="I469" s="53">
        <f>SUM(I467:I468)</f>
        <v>0</v>
      </c>
      <c r="J469" s="53">
        <f>SUM(J467:J468)</f>
        <v>25773.350000000002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3169051.14</v>
      </c>
      <c r="G471" s="18">
        <v>112384.88</v>
      </c>
      <c r="H471" s="18">
        <v>81372.5</v>
      </c>
      <c r="I471" s="18">
        <v>0</v>
      </c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3169051.14</v>
      </c>
      <c r="G473" s="53">
        <f>SUM(G471:G472)</f>
        <v>112384.88</v>
      </c>
      <c r="H473" s="53">
        <f>SUM(H471:H472)</f>
        <v>81372.5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4328.3999999999069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168457.51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>
        <v>5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912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913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440000</v>
      </c>
      <c r="G492" s="18">
        <v>215000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4.28</v>
      </c>
      <c r="G493" s="18">
        <v>1.99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300000</v>
      </c>
      <c r="G494" s="18">
        <v>207000</v>
      </c>
      <c r="H494" s="18"/>
      <c r="I494" s="18"/>
      <c r="J494" s="18"/>
      <c r="K494" s="53">
        <f>SUM(F494:J494)</f>
        <v>507000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45000</v>
      </c>
      <c r="G496" s="18">
        <v>42000</v>
      </c>
      <c r="H496" s="18"/>
      <c r="I496" s="18"/>
      <c r="J496" s="18"/>
      <c r="K496" s="53">
        <f t="shared" si="35"/>
        <v>87000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255000</v>
      </c>
      <c r="G497" s="205">
        <v>165000</v>
      </c>
      <c r="H497" s="205"/>
      <c r="I497" s="205"/>
      <c r="J497" s="205"/>
      <c r="K497" s="206">
        <f t="shared" si="35"/>
        <v>420000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48243.75-6768.75-5868.75</f>
        <v>35606.25</v>
      </c>
      <c r="G498" s="18">
        <f>20829.14-3964.14-3515-2675</f>
        <v>10675</v>
      </c>
      <c r="H498" s="18"/>
      <c r="I498" s="18"/>
      <c r="J498" s="18"/>
      <c r="K498" s="53">
        <f t="shared" si="35"/>
        <v>46281.25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290606.25</v>
      </c>
      <c r="G499" s="42">
        <f>SUM(G497:G498)</f>
        <v>175675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466281.25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45000</v>
      </c>
      <c r="G500" s="205">
        <v>45000</v>
      </c>
      <c r="H500" s="205"/>
      <c r="I500" s="205"/>
      <c r="J500" s="205"/>
      <c r="K500" s="206">
        <f t="shared" si="35"/>
        <v>90000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5838.75+4912.5</f>
        <v>10751.25</v>
      </c>
      <c r="G501" s="18">
        <f>2675+2000</f>
        <v>4675</v>
      </c>
      <c r="H501" s="18"/>
      <c r="I501" s="18"/>
      <c r="J501" s="18"/>
      <c r="K501" s="53">
        <f t="shared" si="35"/>
        <v>15426.25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55751.25</v>
      </c>
      <c r="G502" s="42">
        <f>SUM(G500:G501)</f>
        <v>49675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105426.25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40380.08+23624.26+41903.21+13096.07</f>
        <v>119003.62</v>
      </c>
      <c r="G520" s="18">
        <f>43633.6+1728+146.4+251.3+7602.87+4549.21+373.21+1001.88+45.85</f>
        <v>59332.32</v>
      </c>
      <c r="H520" s="18">
        <f>1608.75+970.53+25178+62932.89+86.69</f>
        <v>90776.86</v>
      </c>
      <c r="I520" s="18">
        <f>1020.39+556.84</f>
        <v>1577.23</v>
      </c>
      <c r="J520" s="18">
        <v>8244</v>
      </c>
      <c r="K520" s="18"/>
      <c r="L520" s="88">
        <f>SUM(F520:K520)</f>
        <v>278934.02999999997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188519.83</v>
      </c>
      <c r="I522" s="18"/>
      <c r="J522" s="18"/>
      <c r="K522" s="18"/>
      <c r="L522" s="88">
        <f>SUM(F522:K522)</f>
        <v>188519.83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119003.62</v>
      </c>
      <c r="G523" s="108">
        <f t="shared" ref="G523:L523" si="36">SUM(G520:G522)</f>
        <v>59332.32</v>
      </c>
      <c r="H523" s="108">
        <f t="shared" si="36"/>
        <v>279296.69</v>
      </c>
      <c r="I523" s="108">
        <f t="shared" si="36"/>
        <v>1577.23</v>
      </c>
      <c r="J523" s="108">
        <f t="shared" si="36"/>
        <v>8244</v>
      </c>
      <c r="K523" s="108">
        <f t="shared" si="36"/>
        <v>0</v>
      </c>
      <c r="L523" s="89">
        <f t="shared" si="36"/>
        <v>467453.86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252.16+5035+45180.41+75+21035.75+90+18373.48</f>
        <v>90041.8</v>
      </c>
      <c r="I525" s="18"/>
      <c r="J525" s="18"/>
      <c r="K525" s="18"/>
      <c r="L525" s="88">
        <f>SUM(F525:K525)</f>
        <v>90041.8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90041.8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90041.8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16829</v>
      </c>
      <c r="I530" s="18"/>
      <c r="J530" s="18"/>
      <c r="K530" s="18">
        <v>2234.69</v>
      </c>
      <c r="L530" s="88">
        <f>SUM(F530:K530)</f>
        <v>19063.689999999999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16829</v>
      </c>
      <c r="I533" s="89">
        <f t="shared" si="38"/>
        <v>0</v>
      </c>
      <c r="J533" s="89">
        <f t="shared" si="38"/>
        <v>0</v>
      </c>
      <c r="K533" s="89">
        <f t="shared" si="38"/>
        <v>2234.69</v>
      </c>
      <c r="L533" s="89">
        <f t="shared" si="38"/>
        <v>19063.689999999999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37929.01</v>
      </c>
      <c r="I540" s="18"/>
      <c r="J540" s="18"/>
      <c r="K540" s="18"/>
      <c r="L540" s="88">
        <f>SUM(F540:K540)</f>
        <v>37929.01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37929.01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37929.01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119003.62</v>
      </c>
      <c r="G544" s="89">
        <f t="shared" ref="G544:L544" si="41">G523+G528+G533+G538+G543</f>
        <v>59332.32</v>
      </c>
      <c r="H544" s="89">
        <f t="shared" si="41"/>
        <v>424096.5</v>
      </c>
      <c r="I544" s="89">
        <f t="shared" si="41"/>
        <v>1577.23</v>
      </c>
      <c r="J544" s="89">
        <f t="shared" si="41"/>
        <v>8244</v>
      </c>
      <c r="K544" s="89">
        <f t="shared" si="41"/>
        <v>2234.69</v>
      </c>
      <c r="L544" s="89">
        <f t="shared" si="41"/>
        <v>614488.36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278934.02999999997</v>
      </c>
      <c r="G548" s="87">
        <f>L525</f>
        <v>90041.8</v>
      </c>
      <c r="H548" s="87">
        <f>L530</f>
        <v>19063.689999999999</v>
      </c>
      <c r="I548" s="87">
        <f>L535</f>
        <v>0</v>
      </c>
      <c r="J548" s="87">
        <f>L540</f>
        <v>37929.01</v>
      </c>
      <c r="K548" s="87">
        <f>SUM(F548:J548)</f>
        <v>425968.52999999997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188519.83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188519.83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467453.86</v>
      </c>
      <c r="G551" s="89">
        <f t="shared" si="42"/>
        <v>90041.8</v>
      </c>
      <c r="H551" s="89">
        <f t="shared" si="42"/>
        <v>19063.689999999999</v>
      </c>
      <c r="I551" s="89">
        <f t="shared" si="42"/>
        <v>0</v>
      </c>
      <c r="J551" s="89">
        <f t="shared" si="42"/>
        <v>37929.01</v>
      </c>
      <c r="K551" s="89">
        <f t="shared" si="42"/>
        <v>614488.36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643133.65</v>
      </c>
      <c r="I574" s="87">
        <f>SUM(F574:H574)</f>
        <v>643133.65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25178+22211.7</f>
        <v>47389.7</v>
      </c>
      <c r="G578" s="18"/>
      <c r="H578" s="18">
        <v>187119.83</v>
      </c>
      <c r="I578" s="87">
        <f t="shared" si="47"/>
        <v>234509.52999999997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62932.89</v>
      </c>
      <c r="G581" s="18"/>
      <c r="H581" s="18">
        <v>1400</v>
      </c>
      <c r="I581" s="87">
        <f t="shared" si="47"/>
        <v>64332.89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127652.25</v>
      </c>
      <c r="I590" s="18"/>
      <c r="J590" s="18">
        <v>44727.86</v>
      </c>
      <c r="K590" s="104">
        <f t="shared" ref="K590:K596" si="48">SUM(H590:J590)</f>
        <v>172380.11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37929.01</v>
      </c>
      <c r="I591" s="18"/>
      <c r="J591" s="18"/>
      <c r="K591" s="104">
        <f t="shared" si="48"/>
        <v>37929.01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2837.2</v>
      </c>
      <c r="I593" s="18"/>
      <c r="J593" s="18"/>
      <c r="K593" s="104">
        <f t="shared" si="48"/>
        <v>2837.2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2057</v>
      </c>
      <c r="I594" s="18"/>
      <c r="J594" s="18"/>
      <c r="K594" s="104">
        <f t="shared" si="48"/>
        <v>2057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170475.46000000002</v>
      </c>
      <c r="I597" s="108">
        <f>SUM(I590:I596)</f>
        <v>0</v>
      </c>
      <c r="J597" s="108">
        <f>SUM(J590:J596)</f>
        <v>44727.86</v>
      </c>
      <c r="K597" s="108">
        <f>SUM(K590:K596)</f>
        <v>215203.32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21475</v>
      </c>
      <c r="I603" s="18"/>
      <c r="J603" s="18"/>
      <c r="K603" s="104">
        <f>SUM(H603:J603)</f>
        <v>21475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21475</v>
      </c>
      <c r="I604" s="108">
        <f>SUM(I601:I603)</f>
        <v>0</v>
      </c>
      <c r="J604" s="108">
        <f>SUM(J601:J603)</f>
        <v>0</v>
      </c>
      <c r="K604" s="108">
        <f>SUM(K601:K603)</f>
        <v>21475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>
        <v>1724.6</v>
      </c>
      <c r="I610" s="18"/>
      <c r="J610" s="18"/>
      <c r="K610" s="18"/>
      <c r="L610" s="88">
        <f>SUM(F610:K610)</f>
        <v>1724.6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1724.6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1724.6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23760.03</v>
      </c>
      <c r="H616" s="109">
        <f>SUM(F51)</f>
        <v>23760.030000000002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3561.4900000000002</v>
      </c>
      <c r="H617" s="109">
        <f>SUM(G51)</f>
        <v>3561.49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43759.21</v>
      </c>
      <c r="H618" s="109">
        <f>SUM(H51)</f>
        <v>43759.21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168457.51</v>
      </c>
      <c r="H620" s="109">
        <f>SUM(J51)</f>
        <v>168457.51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4328.4000000000005</v>
      </c>
      <c r="H621" s="109">
        <f>F475</f>
        <v>4328.3999999999069</v>
      </c>
      <c r="I621" s="121" t="s">
        <v>101</v>
      </c>
      <c r="J621" s="109">
        <f t="shared" ref="J621:J654" si="50">G621-H621</f>
        <v>9.3677954282611609E-11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168457.51</v>
      </c>
      <c r="H625" s="109">
        <f>J475</f>
        <v>168457.51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3141645.32</v>
      </c>
      <c r="H626" s="104">
        <f>SUM(F467)</f>
        <v>3141645.32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112384.88</v>
      </c>
      <c r="H627" s="104">
        <f>SUM(G467)</f>
        <v>112384.88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81372.5</v>
      </c>
      <c r="H628" s="104">
        <f>SUM(H467)</f>
        <v>81372.5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25773.35</v>
      </c>
      <c r="H630" s="104">
        <f>SUM(J467)</f>
        <v>25773.350000000002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3169051.14</v>
      </c>
      <c r="H631" s="104">
        <f>SUM(F471)</f>
        <v>3169051.14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81372.5</v>
      </c>
      <c r="H632" s="104">
        <f>SUM(H471)</f>
        <v>81372.5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59786.71</v>
      </c>
      <c r="H633" s="104">
        <f>I368</f>
        <v>59786.71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112384.88</v>
      </c>
      <c r="H634" s="104">
        <f>SUM(G471)</f>
        <v>112384.88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25773.35</v>
      </c>
      <c r="H636" s="164">
        <f>SUM(J467)</f>
        <v>25773.350000000002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32056.03</v>
      </c>
      <c r="H638" s="104">
        <f>SUM(F460)</f>
        <v>32056.03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136401.48000000001</v>
      </c>
      <c r="H639" s="104">
        <f>SUM(G460)</f>
        <v>136401.48000000001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168457.51</v>
      </c>
      <c r="H641" s="104">
        <f>SUM(I460)</f>
        <v>168457.51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20.349999999999998</v>
      </c>
      <c r="H643" s="104">
        <f>H407</f>
        <v>20.349999999999998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25753</v>
      </c>
      <c r="H644" s="104">
        <f>G407</f>
        <v>25753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25773.35</v>
      </c>
      <c r="H645" s="104">
        <f>L407</f>
        <v>25773.35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215203.32</v>
      </c>
      <c r="H646" s="104">
        <f>L207+L225+L243</f>
        <v>215203.32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21475</v>
      </c>
      <c r="H647" s="104">
        <f>(J256+J337)-(J254+J335)</f>
        <v>21475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170475.46000000002</v>
      </c>
      <c r="H648" s="104">
        <f>H597</f>
        <v>170475.46000000002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44727.86</v>
      </c>
      <c r="H650" s="104">
        <f>J597</f>
        <v>44727.86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39019.480000000003</v>
      </c>
      <c r="H651" s="104">
        <f>K262+K344</f>
        <v>39019.480000000003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25753</v>
      </c>
      <c r="H654" s="104">
        <f>K265+K346</f>
        <v>25753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2315827.2000000002</v>
      </c>
      <c r="G659" s="19">
        <f>(L228+L308+L358)</f>
        <v>0</v>
      </c>
      <c r="H659" s="19">
        <f>(L246+L327+L359)</f>
        <v>876381.34</v>
      </c>
      <c r="I659" s="19">
        <f>SUM(F659:H659)</f>
        <v>3192208.54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45570.76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45570.76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170475.46000000002</v>
      </c>
      <c r="G661" s="19">
        <f>(L225+L305)-(J225+J305)</f>
        <v>0</v>
      </c>
      <c r="H661" s="19">
        <f>(L243+L324)-(J243+J324)</f>
        <v>44727.86</v>
      </c>
      <c r="I661" s="19">
        <f>SUM(F661:H661)</f>
        <v>215203.32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133522.19</v>
      </c>
      <c r="G662" s="200">
        <f>SUM(G574:G586)+SUM(I601:I603)+L611</f>
        <v>0</v>
      </c>
      <c r="H662" s="200">
        <f>SUM(H574:H586)+SUM(J601:J603)+L612</f>
        <v>831653.48</v>
      </c>
      <c r="I662" s="19">
        <f>SUM(F662:H662)</f>
        <v>965175.66999999993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1966258.79</v>
      </c>
      <c r="G663" s="19">
        <f>G659-SUM(G660:G662)</f>
        <v>0</v>
      </c>
      <c r="H663" s="19">
        <f>H659-SUM(H660:H662)</f>
        <v>0</v>
      </c>
      <c r="I663" s="19">
        <f>I659-SUM(I660:I662)</f>
        <v>1966258.79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149.66</v>
      </c>
      <c r="G664" s="249"/>
      <c r="H664" s="249"/>
      <c r="I664" s="19">
        <f>SUM(F664:H664)</f>
        <v>149.66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13138.17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13138.17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13138.17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13138.17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C39" sqref="C39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Westmoreland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629686.37</v>
      </c>
      <c r="C9" s="230">
        <f>'DOE25'!G196+'DOE25'!G214+'DOE25'!G232+'DOE25'!G275+'DOE25'!G294+'DOE25'!G313</f>
        <v>256029.51</v>
      </c>
    </row>
    <row r="10" spans="1:3">
      <c r="A10" t="s">
        <v>779</v>
      </c>
      <c r="B10" s="241">
        <v>594215.36</v>
      </c>
      <c r="C10" s="241">
        <v>241607.05</v>
      </c>
    </row>
    <row r="11" spans="1:3">
      <c r="A11" t="s">
        <v>780</v>
      </c>
      <c r="B11" s="241">
        <v>35471.01</v>
      </c>
      <c r="C11" s="241">
        <v>14422.46</v>
      </c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629686.37</v>
      </c>
      <c r="C13" s="232">
        <f>SUM(C10:C12)</f>
        <v>256029.50999999998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119003.62</v>
      </c>
      <c r="C18" s="230">
        <f>'DOE25'!G197+'DOE25'!G215+'DOE25'!G233+'DOE25'!G276+'DOE25'!G295+'DOE25'!G314</f>
        <v>59332.32</v>
      </c>
    </row>
    <row r="19" spans="1:3">
      <c r="A19" t="s">
        <v>779</v>
      </c>
      <c r="B19" s="241">
        <v>53476.15</v>
      </c>
      <c r="C19" s="241">
        <v>26661.91</v>
      </c>
    </row>
    <row r="20" spans="1:3">
      <c r="A20" t="s">
        <v>780</v>
      </c>
      <c r="B20" s="241">
        <v>65527.47</v>
      </c>
      <c r="C20" s="241">
        <v>32670.41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119003.62</v>
      </c>
      <c r="C22" s="232">
        <f>SUM(C19:C21)</f>
        <v>59332.32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14220.01</v>
      </c>
      <c r="C36" s="236">
        <f>'DOE25'!G199+'DOE25'!G217+'DOE25'!G235+'DOE25'!G278+'DOE25'!G297+'DOE25'!G316</f>
        <v>2433.6899999999996</v>
      </c>
    </row>
    <row r="37" spans="1:3">
      <c r="A37" t="s">
        <v>779</v>
      </c>
      <c r="B37" s="241">
        <v>11620.01</v>
      </c>
      <c r="C37" s="241">
        <v>1988.71</v>
      </c>
    </row>
    <row r="38" spans="1:3">
      <c r="A38" t="s">
        <v>780</v>
      </c>
      <c r="B38" s="241">
        <v>2600</v>
      </c>
      <c r="C38" s="241">
        <v>444.98</v>
      </c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14220.01</v>
      </c>
      <c r="C40" s="232">
        <f>SUM(C37:C39)</f>
        <v>2433.69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4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Westmoreland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2023961.0599999998</v>
      </c>
      <c r="D5" s="20">
        <f>SUM('DOE25'!L196:L199)+SUM('DOE25'!L214:L217)+SUM('DOE25'!L232:L235)-F5-G5</f>
        <v>2018377.8099999998</v>
      </c>
      <c r="E5" s="244"/>
      <c r="F5" s="256">
        <f>SUM('DOE25'!J196:J199)+SUM('DOE25'!J214:J217)+SUM('DOE25'!J232:J235)</f>
        <v>3349.25</v>
      </c>
      <c r="G5" s="53">
        <f>SUM('DOE25'!K196:K199)+SUM('DOE25'!K214:K217)+SUM('DOE25'!K232:K235)</f>
        <v>2234</v>
      </c>
      <c r="H5" s="260"/>
    </row>
    <row r="6" spans="1:9">
      <c r="A6" s="32">
        <v>2100</v>
      </c>
      <c r="B6" t="s">
        <v>801</v>
      </c>
      <c r="C6" s="246">
        <f t="shared" si="0"/>
        <v>119637.59000000001</v>
      </c>
      <c r="D6" s="20">
        <f>'DOE25'!L201+'DOE25'!L219+'DOE25'!L237-F6-G6</f>
        <v>119637.59000000001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67936.56</v>
      </c>
      <c r="D7" s="20">
        <f>'DOE25'!L202+'DOE25'!L220+'DOE25'!L238-F7-G7</f>
        <v>67936.56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123881.99999999997</v>
      </c>
      <c r="D8" s="244"/>
      <c r="E8" s="20">
        <f>'DOE25'!L203+'DOE25'!L221+'DOE25'!L239-F8-G8-D9-D11</f>
        <v>123881.99999999997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>
      <c r="A9" s="32">
        <v>2310</v>
      </c>
      <c r="B9" t="s">
        <v>818</v>
      </c>
      <c r="C9" s="246">
        <f t="shared" si="0"/>
        <v>3763.2799999999997</v>
      </c>
      <c r="D9" s="245">
        <f>1283.28+100+2160+120+100</f>
        <v>3763.2799999999997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6300</v>
      </c>
      <c r="D10" s="244"/>
      <c r="E10" s="245">
        <v>6300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49714</v>
      </c>
      <c r="D11" s="245">
        <v>49714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153748.61000000002</v>
      </c>
      <c r="D12" s="20">
        <f>'DOE25'!L204+'DOE25'!L222+'DOE25'!L240-F12-G12</f>
        <v>153659.61000000002</v>
      </c>
      <c r="E12" s="244"/>
      <c r="F12" s="256">
        <f>'DOE25'!J204+'DOE25'!J222+'DOE25'!J240</f>
        <v>0</v>
      </c>
      <c r="G12" s="53">
        <f>'DOE25'!K204+'DOE25'!K222+'DOE25'!K240</f>
        <v>89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239233.22</v>
      </c>
      <c r="D14" s="20">
        <f>'DOE25'!L206+'DOE25'!L224+'DOE25'!L242-F14-G14</f>
        <v>239233.22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215203.32</v>
      </c>
      <c r="D15" s="20">
        <f>'DOE25'!L207+'DOE25'!L225+'DOE25'!L243-F15-G15</f>
        <v>215203.32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1371.52</v>
      </c>
      <c r="D16" s="244"/>
      <c r="E16" s="20">
        <f>'DOE25'!L208+'DOE25'!L226+'DOE25'!L244-F16-G16</f>
        <v>1371.52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105827.5</v>
      </c>
      <c r="D25" s="244"/>
      <c r="E25" s="244"/>
      <c r="F25" s="259"/>
      <c r="G25" s="257"/>
      <c r="H25" s="258">
        <f>'DOE25'!L259+'DOE25'!L260+'DOE25'!L340+'DOE25'!L341</f>
        <v>105827.5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58330.320000000007</v>
      </c>
      <c r="D29" s="20">
        <f>'DOE25'!L357+'DOE25'!L358+'DOE25'!L359-'DOE25'!I366-F29-G29</f>
        <v>57602.260000000009</v>
      </c>
      <c r="E29" s="244"/>
      <c r="F29" s="256">
        <f>'DOE25'!J357+'DOE25'!J358+'DOE25'!J359</f>
        <v>519.05999999999995</v>
      </c>
      <c r="G29" s="53">
        <f>'DOE25'!K357+'DOE25'!K358+'DOE25'!K359</f>
        <v>209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81372.5</v>
      </c>
      <c r="D31" s="20">
        <f>'DOE25'!L289+'DOE25'!L308+'DOE25'!L327+'DOE25'!L332+'DOE25'!L333+'DOE25'!L334-F31-G31</f>
        <v>59493.22</v>
      </c>
      <c r="E31" s="244"/>
      <c r="F31" s="256">
        <f>'DOE25'!J289+'DOE25'!J308+'DOE25'!J327+'DOE25'!J332+'DOE25'!J333+'DOE25'!J334</f>
        <v>18125.75</v>
      </c>
      <c r="G31" s="53">
        <f>'DOE25'!K289+'DOE25'!K308+'DOE25'!K327+'DOE25'!K332+'DOE25'!K333+'DOE25'!K334</f>
        <v>3753.53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2984620.8699999996</v>
      </c>
      <c r="E33" s="247">
        <f>SUM(E5:E31)</f>
        <v>131553.51999999996</v>
      </c>
      <c r="F33" s="247">
        <f>SUM(F5:F31)</f>
        <v>21994.06</v>
      </c>
      <c r="G33" s="247">
        <f>SUM(G5:G31)</f>
        <v>6285.5300000000007</v>
      </c>
      <c r="H33" s="247">
        <f>SUM(H5:H31)</f>
        <v>105827.5</v>
      </c>
    </row>
    <row r="35" spans="2:8" ht="12" thickBot="1">
      <c r="B35" s="254" t="s">
        <v>847</v>
      </c>
      <c r="D35" s="255">
        <f>E33</f>
        <v>131553.51999999996</v>
      </c>
      <c r="E35" s="250"/>
    </row>
    <row r="36" spans="2:8" ht="12" thickTop="1">
      <c r="B36" t="s">
        <v>815</v>
      </c>
      <c r="D36" s="20">
        <f>D33</f>
        <v>2984620.8699999996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39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Westmoreland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-30652.589999999997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7456.13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168457.51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43260.829999999994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3653.16</v>
      </c>
      <c r="D12" s="95">
        <f>'DOE25'!G13</f>
        <v>2447.61</v>
      </c>
      <c r="E12" s="95">
        <f>'DOE25'!H13</f>
        <v>43759.21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42.5</v>
      </c>
      <c r="D13" s="95">
        <f>'DOE25'!G14</f>
        <v>1113.8800000000001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23760.03</v>
      </c>
      <c r="D18" s="41">
        <f>SUM(D8:D17)</f>
        <v>3561.4900000000002</v>
      </c>
      <c r="E18" s="41">
        <f>SUM(E8:E17)</f>
        <v>43759.21</v>
      </c>
      <c r="F18" s="41">
        <f>SUM(F8:F17)</f>
        <v>0</v>
      </c>
      <c r="G18" s="41">
        <f>SUM(G8:G17)</f>
        <v>168457.51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788.27</v>
      </c>
      <c r="E21" s="95">
        <f>'DOE25'!H22</f>
        <v>42472.56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13686.37</v>
      </c>
      <c r="D23" s="95">
        <f>'DOE25'!G24</f>
        <v>104.34</v>
      </c>
      <c r="E23" s="95">
        <f>'DOE25'!H24</f>
        <v>856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5745.26</v>
      </c>
      <c r="D27" s="95">
        <f>'DOE25'!G28</f>
        <v>1516.06</v>
      </c>
      <c r="E27" s="95">
        <f>'DOE25'!H28</f>
        <v>430.65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1152.82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19431.63</v>
      </c>
      <c r="D31" s="41">
        <f>SUM(D21:D30)</f>
        <v>3561.49</v>
      </c>
      <c r="E31" s="41">
        <f>SUM(E21:E30)</f>
        <v>43759.21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4044.6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284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168457.51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-0.2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4328.4000000000005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168457.51</v>
      </c>
      <c r="H49" s="124"/>
      <c r="I49" s="124"/>
    </row>
    <row r="50" spans="1:9" ht="12" thickTop="1">
      <c r="A50" s="38" t="s">
        <v>895</v>
      </c>
      <c r="B50" s="2"/>
      <c r="C50" s="41">
        <f>C49+C31</f>
        <v>23760.030000000002</v>
      </c>
      <c r="D50" s="41">
        <f>D49+D31</f>
        <v>3561.49</v>
      </c>
      <c r="E50" s="41">
        <f>E49+E31</f>
        <v>43759.21</v>
      </c>
      <c r="F50" s="41">
        <f>F49+F31</f>
        <v>0</v>
      </c>
      <c r="G50" s="41">
        <f>G49+G31</f>
        <v>168457.51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1941001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100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1946.78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549.12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20.349999999999998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45570.76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9236.42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11832.32</v>
      </c>
      <c r="D61" s="130">
        <f>SUM(D56:D60)</f>
        <v>45570.76</v>
      </c>
      <c r="E61" s="130">
        <f>SUM(E56:E60)</f>
        <v>0</v>
      </c>
      <c r="F61" s="130">
        <f>SUM(F56:F60)</f>
        <v>0</v>
      </c>
      <c r="G61" s="130">
        <f>SUM(G56:G60)</f>
        <v>20.349999999999998</v>
      </c>
      <c r="H61"/>
      <c r="I61"/>
    </row>
    <row r="62" spans="1:9" ht="12" thickTop="1">
      <c r="A62" s="29" t="s">
        <v>175</v>
      </c>
      <c r="B62" s="6"/>
      <c r="C62" s="22">
        <f>C55+C61</f>
        <v>1952833.32</v>
      </c>
      <c r="D62" s="22">
        <f>D55+D61</f>
        <v>45570.76</v>
      </c>
      <c r="E62" s="22">
        <f>E55+E61</f>
        <v>0</v>
      </c>
      <c r="F62" s="22">
        <f>F55+F61</f>
        <v>0</v>
      </c>
      <c r="G62" s="22">
        <f>G55+G61</f>
        <v>20.349999999999998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613868.12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453595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531.88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1390.68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1069385.68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28830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23043.48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848.32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51873.479999999996</v>
      </c>
      <c r="D77" s="130">
        <f>SUM(D71:D76)</f>
        <v>848.32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1121259.1599999999</v>
      </c>
      <c r="D80" s="130">
        <f>SUM(D78:D79)+D77+D69</f>
        <v>848.32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12368.619999999999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51552.84</v>
      </c>
      <c r="D87" s="95">
        <f>SUM('DOE25'!G152:G160)</f>
        <v>26946.32</v>
      </c>
      <c r="E87" s="95">
        <f>SUM('DOE25'!H152:H160)</f>
        <v>69003.88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51552.84</v>
      </c>
      <c r="D90" s="131">
        <f>SUM(D84:D89)</f>
        <v>26946.32</v>
      </c>
      <c r="E90" s="131">
        <f>SUM(E84:E89)</f>
        <v>81372.5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39019.480000000003</v>
      </c>
      <c r="E95" s="95">
        <f>'DOE25'!H178</f>
        <v>0</v>
      </c>
      <c r="F95" s="95">
        <f>'DOE25'!I178</f>
        <v>0</v>
      </c>
      <c r="G95" s="95">
        <f>'DOE25'!J178</f>
        <v>25753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16000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16000</v>
      </c>
      <c r="D102" s="86">
        <f>SUM(D92:D101)</f>
        <v>39019.480000000003</v>
      </c>
      <c r="E102" s="86">
        <f>SUM(E92:E101)</f>
        <v>0</v>
      </c>
      <c r="F102" s="86">
        <f>SUM(F92:F101)</f>
        <v>0</v>
      </c>
      <c r="G102" s="86">
        <f>SUM(G92:G101)</f>
        <v>25753</v>
      </c>
    </row>
    <row r="103" spans="1:7" ht="12.75" thickTop="1" thickBot="1">
      <c r="A103" s="33" t="s">
        <v>765</v>
      </c>
      <c r="C103" s="86">
        <f>C62+C80+C90+C102</f>
        <v>3141645.32</v>
      </c>
      <c r="D103" s="86">
        <f>D62+D80+D90+D102</f>
        <v>112384.88</v>
      </c>
      <c r="E103" s="86">
        <f>E62+E80+E90+E102</f>
        <v>81372.5</v>
      </c>
      <c r="F103" s="86">
        <f>F62+F80+F90+F102</f>
        <v>0</v>
      </c>
      <c r="G103" s="86">
        <f>G62+G80+G102</f>
        <v>25773.35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1533550.5899999999</v>
      </c>
      <c r="D108" s="24" t="s">
        <v>289</v>
      </c>
      <c r="E108" s="95">
        <f>('DOE25'!L275)+('DOE25'!L294)+('DOE25'!L313)</f>
        <v>25046.41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467277.76</v>
      </c>
      <c r="D109" s="24" t="s">
        <v>289</v>
      </c>
      <c r="E109" s="95">
        <f>('DOE25'!L276)+('DOE25'!L295)+('DOE25'!L314)</f>
        <v>23690.400000000001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23132.71</v>
      </c>
      <c r="D111" s="24" t="s">
        <v>289</v>
      </c>
      <c r="E111" s="95">
        <f>+('DOE25'!L278)+('DOE25'!L297)+('DOE25'!L316)</f>
        <v>1457.99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2023961.0599999998</v>
      </c>
      <c r="D114" s="86">
        <f>SUM(D108:D113)</f>
        <v>0</v>
      </c>
      <c r="E114" s="86">
        <f>SUM(E108:E113)</f>
        <v>50194.799999999996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119637.59000000001</v>
      </c>
      <c r="D117" s="24" t="s">
        <v>289</v>
      </c>
      <c r="E117" s="95">
        <f>+('DOE25'!L280)+('DOE25'!L299)+('DOE25'!L318)</f>
        <v>300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67936.56</v>
      </c>
      <c r="D118" s="24" t="s">
        <v>289</v>
      </c>
      <c r="E118" s="95">
        <f>+('DOE25'!L281)+('DOE25'!L300)+('DOE25'!L319)</f>
        <v>24368.17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177359.27999999997</v>
      </c>
      <c r="D119" s="24" t="s">
        <v>289</v>
      </c>
      <c r="E119" s="95">
        <f>+('DOE25'!L282)+('DOE25'!L301)+('DOE25'!L320)</f>
        <v>1028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153748.61000000002</v>
      </c>
      <c r="D120" s="24" t="s">
        <v>289</v>
      </c>
      <c r="E120" s="95">
        <f>+('DOE25'!L283)+('DOE25'!L302)+('DOE25'!L321)</f>
        <v>1728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3753.53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239233.22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215203.32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1371.52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112384.88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974490.10000000009</v>
      </c>
      <c r="D127" s="86">
        <f>SUM(D117:D126)</f>
        <v>112384.88</v>
      </c>
      <c r="E127" s="86">
        <f>SUM(E117:E126)</f>
        <v>31177.699999999997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87000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18827.5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39019.480000000003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15002.36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10770.99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-20.349999999998545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170599.98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3169051.14</v>
      </c>
      <c r="D144" s="86">
        <f>(D114+D127+D143)</f>
        <v>112384.88</v>
      </c>
      <c r="E144" s="86">
        <f>(E114+E127+E143)</f>
        <v>81372.5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10</v>
      </c>
      <c r="C150" s="153">
        <f>'DOE25'!G489</f>
        <v>5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08/07</v>
      </c>
      <c r="C151" s="152" t="str">
        <f>'DOE25'!G490</f>
        <v>8/10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08/17</v>
      </c>
      <c r="C152" s="152" t="str">
        <f>'DOE25'!G491</f>
        <v>8/15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440000</v>
      </c>
      <c r="C153" s="137">
        <f>'DOE25'!G492</f>
        <v>215000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4.28</v>
      </c>
      <c r="C154" s="137">
        <f>'DOE25'!G493</f>
        <v>1.99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300000</v>
      </c>
      <c r="C155" s="137">
        <f>'DOE25'!G494</f>
        <v>207000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507000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45000</v>
      </c>
      <c r="C157" s="137">
        <f>'DOE25'!G496</f>
        <v>42000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87000</v>
      </c>
    </row>
    <row r="158" spans="1:9">
      <c r="A158" s="22" t="s">
        <v>35</v>
      </c>
      <c r="B158" s="137">
        <f>'DOE25'!F497</f>
        <v>255000</v>
      </c>
      <c r="C158" s="137">
        <f>'DOE25'!G497</f>
        <v>165000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420000</v>
      </c>
    </row>
    <row r="159" spans="1:9">
      <c r="A159" s="22" t="s">
        <v>36</v>
      </c>
      <c r="B159" s="137">
        <f>'DOE25'!F498</f>
        <v>35606.25</v>
      </c>
      <c r="C159" s="137">
        <f>'DOE25'!G498</f>
        <v>10675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46281.25</v>
      </c>
    </row>
    <row r="160" spans="1:9">
      <c r="A160" s="22" t="s">
        <v>37</v>
      </c>
      <c r="B160" s="137">
        <f>'DOE25'!F499</f>
        <v>290606.25</v>
      </c>
      <c r="C160" s="137">
        <f>'DOE25'!G499</f>
        <v>175675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466281.25</v>
      </c>
    </row>
    <row r="161" spans="1:7">
      <c r="A161" s="22" t="s">
        <v>38</v>
      </c>
      <c r="B161" s="137">
        <f>'DOE25'!F500</f>
        <v>45000</v>
      </c>
      <c r="C161" s="137">
        <f>'DOE25'!G500</f>
        <v>45000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90000</v>
      </c>
    </row>
    <row r="162" spans="1:7">
      <c r="A162" s="22" t="s">
        <v>39</v>
      </c>
      <c r="B162" s="137">
        <f>'DOE25'!F501</f>
        <v>10751.25</v>
      </c>
      <c r="C162" s="137">
        <f>'DOE25'!G501</f>
        <v>4675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15426.25</v>
      </c>
    </row>
    <row r="163" spans="1:7">
      <c r="A163" s="22" t="s">
        <v>246</v>
      </c>
      <c r="B163" s="137">
        <f>'DOE25'!F502</f>
        <v>55751.25</v>
      </c>
      <c r="C163" s="137">
        <f>'DOE25'!G502</f>
        <v>49675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105426.25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Westmoreland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13138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13138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1558597</v>
      </c>
      <c r="D10" s="182">
        <f>ROUND((C10/$C$28)*100,1)</f>
        <v>49.2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490968</v>
      </c>
      <c r="D11" s="182">
        <f>ROUND((C11/$C$28)*100,1)</f>
        <v>15.5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24591</v>
      </c>
      <c r="D13" s="182">
        <f>ROUND((C13/$C$28)*100,1)</f>
        <v>0.8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119938</v>
      </c>
      <c r="D15" s="182">
        <f t="shared" ref="D15:D27" si="0">ROUND((C15/$C$28)*100,1)</f>
        <v>3.8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92305</v>
      </c>
      <c r="D16" s="182">
        <f t="shared" si="0"/>
        <v>2.9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179759</v>
      </c>
      <c r="D17" s="182">
        <f t="shared" si="0"/>
        <v>5.7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155477</v>
      </c>
      <c r="D18" s="182">
        <f t="shared" si="0"/>
        <v>4.9000000000000004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3754</v>
      </c>
      <c r="D19" s="182">
        <f t="shared" si="0"/>
        <v>0.1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239233</v>
      </c>
      <c r="D20" s="182">
        <f t="shared" si="0"/>
        <v>7.6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215203</v>
      </c>
      <c r="D21" s="182">
        <f t="shared" si="0"/>
        <v>6.8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18828</v>
      </c>
      <c r="D25" s="182">
        <f t="shared" si="0"/>
        <v>0.6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66814.239999999991</v>
      </c>
      <c r="D27" s="182">
        <f t="shared" si="0"/>
        <v>2.1</v>
      </c>
    </row>
    <row r="28" spans="1:4">
      <c r="B28" s="187" t="s">
        <v>723</v>
      </c>
      <c r="C28" s="180">
        <f>SUM(C10:C27)</f>
        <v>3165467.24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3165467.24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87000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1941001</v>
      </c>
      <c r="D35" s="182">
        <f t="shared" ref="D35:D40" si="1">ROUND((C35/$C$41)*100,1)</f>
        <v>60</v>
      </c>
    </row>
    <row r="36" spans="1:4">
      <c r="B36" s="185" t="s">
        <v>743</v>
      </c>
      <c r="C36" s="179">
        <f>SUM('DOE25'!F111:J111)-SUM('DOE25'!G96:G109)+('DOE25'!F173+'DOE25'!F174+'DOE25'!I173+'DOE25'!I174)-C35</f>
        <v>11852.670000000158</v>
      </c>
      <c r="D36" s="182">
        <f t="shared" si="1"/>
        <v>0.4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1067995</v>
      </c>
      <c r="D37" s="182">
        <f t="shared" si="1"/>
        <v>33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54112</v>
      </c>
      <c r="D38" s="182">
        <f t="shared" si="1"/>
        <v>1.7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159872</v>
      </c>
      <c r="D39" s="182">
        <f t="shared" si="1"/>
        <v>4.9000000000000004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3234832.67</v>
      </c>
      <c r="D41" s="184">
        <f>SUM(D35:D40)</f>
        <v>100.00000000000001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Westmoreland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2012-09-21T19:05:50Z</cp:lastPrinted>
  <dcterms:created xsi:type="dcterms:W3CDTF">1997-12-04T19:04:30Z</dcterms:created>
  <dcterms:modified xsi:type="dcterms:W3CDTF">2012-11-21T16:26:41Z</dcterms:modified>
</cp:coreProperties>
</file>