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F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29" i="13" l="1"/>
  <c r="F29" i="13"/>
  <c r="H197" i="1" l="1"/>
  <c r="H201" i="1"/>
  <c r="H525" i="1" l="1"/>
  <c r="H520" i="1"/>
  <c r="F22" i="1" l="1"/>
  <c r="F468" i="1" l="1"/>
  <c r="F12" i="1"/>
  <c r="G30" i="1"/>
  <c r="G22" i="1"/>
  <c r="F109" i="1" l="1"/>
  <c r="F108" i="1"/>
  <c r="G96" i="1" l="1"/>
  <c r="G467" i="1"/>
  <c r="G40" i="1"/>
  <c r="F467" i="1" l="1"/>
  <c r="F56" i="1"/>
  <c r="C37" i="12"/>
  <c r="B37" i="12"/>
  <c r="B39" i="12"/>
  <c r="F48" i="1"/>
  <c r="F530" i="1"/>
  <c r="C19" i="12" l="1"/>
  <c r="C20" i="12"/>
  <c r="B19" i="12"/>
  <c r="B20" i="12"/>
  <c r="C10" i="12"/>
  <c r="C11" i="12"/>
  <c r="B10" i="12"/>
  <c r="B11" i="12"/>
  <c r="K532" i="1"/>
  <c r="K531" i="1"/>
  <c r="K530" i="1"/>
  <c r="H532" i="1"/>
  <c r="H531" i="1"/>
  <c r="H530" i="1"/>
  <c r="G532" i="1"/>
  <c r="G531" i="1"/>
  <c r="G530" i="1"/>
  <c r="F532" i="1"/>
  <c r="F531" i="1"/>
  <c r="H526" i="1"/>
  <c r="H522" i="1"/>
  <c r="H521" i="1"/>
  <c r="G522" i="1"/>
  <c r="G521" i="1"/>
  <c r="G520" i="1"/>
  <c r="J525" i="1"/>
  <c r="I525" i="1"/>
  <c r="H527" i="1"/>
  <c r="J520" i="1"/>
  <c r="J521" i="1"/>
  <c r="J522" i="1"/>
  <c r="I520" i="1"/>
  <c r="F520" i="1"/>
  <c r="H535" i="1"/>
  <c r="I467" i="1" l="1"/>
  <c r="I471" i="1" l="1"/>
  <c r="I123" i="1"/>
  <c r="J377" i="1"/>
  <c r="F471" i="1"/>
  <c r="H202" i="1"/>
  <c r="I56" i="1"/>
  <c r="I359" i="1" l="1"/>
  <c r="I358" i="1"/>
  <c r="I357" i="1"/>
  <c r="H603" i="1"/>
  <c r="J603" i="1"/>
  <c r="I603" i="1"/>
  <c r="G203" i="1"/>
  <c r="H239" i="1"/>
  <c r="G239" i="1"/>
  <c r="G221" i="1"/>
  <c r="I221" i="1"/>
  <c r="I239" i="1"/>
  <c r="I203" i="1"/>
  <c r="J208" i="1"/>
  <c r="G244" i="1"/>
  <c r="G226" i="1"/>
  <c r="G208" i="1"/>
  <c r="H594" i="1"/>
  <c r="H207" i="1"/>
  <c r="J206" i="1"/>
  <c r="I242" i="1"/>
  <c r="I224" i="1"/>
  <c r="I206" i="1"/>
  <c r="H206" i="1"/>
  <c r="H224" i="1"/>
  <c r="H242" i="1"/>
  <c r="G242" i="1"/>
  <c r="G224" i="1"/>
  <c r="G206" i="1"/>
  <c r="I205" i="1"/>
  <c r="H205" i="1"/>
  <c r="G241" i="1"/>
  <c r="G223" i="1"/>
  <c r="G205" i="1"/>
  <c r="J240" i="1"/>
  <c r="J222" i="1"/>
  <c r="I240" i="1"/>
  <c r="I222" i="1"/>
  <c r="H204" i="1"/>
  <c r="H240" i="1"/>
  <c r="H222" i="1"/>
  <c r="G240" i="1"/>
  <c r="G222" i="1"/>
  <c r="G204" i="1"/>
  <c r="K203" i="1"/>
  <c r="H221" i="1"/>
  <c r="H203" i="1"/>
  <c r="I238" i="1" l="1"/>
  <c r="I220" i="1"/>
  <c r="G238" i="1"/>
  <c r="G220" i="1"/>
  <c r="G202" i="1"/>
  <c r="I237" i="1"/>
  <c r="I219" i="1"/>
  <c r="H237" i="1"/>
  <c r="G237" i="1"/>
  <c r="G219" i="1"/>
  <c r="G201" i="1"/>
  <c r="J235" i="1"/>
  <c r="J217" i="1"/>
  <c r="H235" i="1"/>
  <c r="H217" i="1"/>
  <c r="G235" i="1"/>
  <c r="G217" i="1"/>
  <c r="H581" i="1"/>
  <c r="G581" i="1"/>
  <c r="H233" i="1"/>
  <c r="H215" i="1"/>
  <c r="G233" i="1"/>
  <c r="G215" i="1"/>
  <c r="G197" i="1"/>
  <c r="J232" i="1"/>
  <c r="J214" i="1"/>
  <c r="F2" i="11" l="1"/>
  <c r="C42" i="10"/>
  <c r="C40" i="10"/>
  <c r="C39" i="10"/>
  <c r="C37" i="10"/>
  <c r="C32" i="10"/>
  <c r="C26" i="10"/>
  <c r="C25" i="10"/>
  <c r="C24" i="10"/>
  <c r="C23" i="10"/>
  <c r="B2" i="10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E144" i="2"/>
  <c r="E143" i="2"/>
  <c r="D143" i="2"/>
  <c r="C143" i="2"/>
  <c r="E142" i="2"/>
  <c r="C142" i="2"/>
  <c r="E141" i="2"/>
  <c r="C141" i="2"/>
  <c r="C140" i="2"/>
  <c r="C139" i="2"/>
  <c r="C138" i="2"/>
  <c r="C137" i="2"/>
  <c r="E136" i="2"/>
  <c r="C136" i="2"/>
  <c r="C135" i="2"/>
  <c r="E134" i="2"/>
  <c r="C134" i="2"/>
  <c r="F133" i="2"/>
  <c r="E133" i="2"/>
  <c r="D133" i="2"/>
  <c r="E131" i="2"/>
  <c r="C131" i="2"/>
  <c r="E130" i="2"/>
  <c r="C130" i="2"/>
  <c r="E129" i="2"/>
  <c r="C129" i="2"/>
  <c r="G127" i="2"/>
  <c r="F127" i="2"/>
  <c r="E127" i="2"/>
  <c r="E124" i="2"/>
  <c r="E123" i="2"/>
  <c r="E122" i="2"/>
  <c r="E121" i="2"/>
  <c r="E120" i="2"/>
  <c r="E119" i="2"/>
  <c r="E118" i="2"/>
  <c r="E117" i="2"/>
  <c r="G114" i="2"/>
  <c r="F114" i="2"/>
  <c r="E114" i="2"/>
  <c r="D114" i="2"/>
  <c r="E113" i="2"/>
  <c r="C113" i="2"/>
  <c r="E112" i="2"/>
  <c r="C112" i="2"/>
  <c r="E111" i="2"/>
  <c r="E110" i="2"/>
  <c r="E109" i="2"/>
  <c r="E108" i="2"/>
  <c r="G103" i="2"/>
  <c r="E103" i="2"/>
  <c r="G102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G97" i="2"/>
  <c r="E97" i="2"/>
  <c r="D97" i="2"/>
  <c r="C97" i="2"/>
  <c r="G96" i="2"/>
  <c r="F96" i="2"/>
  <c r="E96" i="2"/>
  <c r="D96" i="2"/>
  <c r="C96" i="2"/>
  <c r="G95" i="2"/>
  <c r="F95" i="2"/>
  <c r="E95" i="2"/>
  <c r="D95" i="2"/>
  <c r="F93" i="2"/>
  <c r="C93" i="2"/>
  <c r="F92" i="2"/>
  <c r="C92" i="2"/>
  <c r="F90" i="2"/>
  <c r="E90" i="2"/>
  <c r="D90" i="2"/>
  <c r="C90" i="2"/>
  <c r="C89" i="2"/>
  <c r="F88" i="2"/>
  <c r="E88" i="2"/>
  <c r="D88" i="2"/>
  <c r="C88" i="2"/>
  <c r="F87" i="2"/>
  <c r="E87" i="2"/>
  <c r="D87" i="2"/>
  <c r="C87" i="2"/>
  <c r="F86" i="2"/>
  <c r="E86" i="2"/>
  <c r="C86" i="2"/>
  <c r="F84" i="2"/>
  <c r="E84" i="2"/>
  <c r="D84" i="2"/>
  <c r="C84" i="2"/>
  <c r="G80" i="2"/>
  <c r="E80" i="2"/>
  <c r="D80" i="2"/>
  <c r="C80" i="2"/>
  <c r="E79" i="2"/>
  <c r="C79" i="2"/>
  <c r="E78" i="2"/>
  <c r="D78" i="2"/>
  <c r="C78" i="2"/>
  <c r="G77" i="2"/>
  <c r="E77" i="2"/>
  <c r="D77" i="2"/>
  <c r="C77" i="2"/>
  <c r="G76" i="2"/>
  <c r="F76" i="2"/>
  <c r="E76" i="2"/>
  <c r="D76" i="2"/>
  <c r="C76" i="2"/>
  <c r="F75" i="2"/>
  <c r="E75" i="2"/>
  <c r="C75" i="2"/>
  <c r="C74" i="2"/>
  <c r="C73" i="2"/>
  <c r="F72" i="2"/>
  <c r="F77" i="2" s="1"/>
  <c r="F80" i="2" s="1"/>
  <c r="C72" i="2"/>
  <c r="F71" i="2"/>
  <c r="C71" i="2"/>
  <c r="G69" i="2"/>
  <c r="F69" i="2"/>
  <c r="E69" i="2"/>
  <c r="D69" i="2"/>
  <c r="C69" i="2"/>
  <c r="G68" i="2"/>
  <c r="F68" i="2"/>
  <c r="E68" i="2"/>
  <c r="D68" i="2"/>
  <c r="C68" i="2"/>
  <c r="C67" i="2"/>
  <c r="C66" i="2"/>
  <c r="C65" i="2"/>
  <c r="G62" i="2"/>
  <c r="E62" i="2"/>
  <c r="G61" i="2"/>
  <c r="F61" i="2"/>
  <c r="E61" i="2"/>
  <c r="G60" i="2"/>
  <c r="F60" i="2"/>
  <c r="E60" i="2"/>
  <c r="D60" i="2"/>
  <c r="C60" i="2"/>
  <c r="C61" i="2" s="1"/>
  <c r="D59" i="2"/>
  <c r="D61" i="2" s="1"/>
  <c r="D62" i="2" s="1"/>
  <c r="D103" i="2" s="1"/>
  <c r="G58" i="2"/>
  <c r="F58" i="2"/>
  <c r="E58" i="2"/>
  <c r="D58" i="2"/>
  <c r="C58" i="2"/>
  <c r="E57" i="2"/>
  <c r="C57" i="2"/>
  <c r="E56" i="2"/>
  <c r="C56" i="2"/>
  <c r="G55" i="2"/>
  <c r="E55" i="2"/>
  <c r="D55" i="2"/>
  <c r="G50" i="2"/>
  <c r="G49" i="2"/>
  <c r="E49" i="2"/>
  <c r="C48" i="2"/>
  <c r="G47" i="2"/>
  <c r="F47" i="2"/>
  <c r="E47" i="2"/>
  <c r="D47" i="2"/>
  <c r="C47" i="2"/>
  <c r="G46" i="2"/>
  <c r="F46" i="2"/>
  <c r="E46" i="2"/>
  <c r="D46" i="2"/>
  <c r="C46" i="2"/>
  <c r="G44" i="2"/>
  <c r="F44" i="2"/>
  <c r="E44" i="2"/>
  <c r="D44" i="2"/>
  <c r="C44" i="2"/>
  <c r="F43" i="2"/>
  <c r="E43" i="2"/>
  <c r="D43" i="2"/>
  <c r="C43" i="2"/>
  <c r="G42" i="2"/>
  <c r="F42" i="2"/>
  <c r="E42" i="2"/>
  <c r="D42" i="2"/>
  <c r="C42" i="2"/>
  <c r="F40" i="2"/>
  <c r="D39" i="2"/>
  <c r="D49" i="2" s="1"/>
  <c r="G38" i="2"/>
  <c r="F38" i="2"/>
  <c r="E38" i="2"/>
  <c r="D38" i="2"/>
  <c r="C38" i="2"/>
  <c r="G36" i="2"/>
  <c r="F36" i="2"/>
  <c r="E36" i="2"/>
  <c r="D36" i="2"/>
  <c r="C36" i="2"/>
  <c r="F35" i="2"/>
  <c r="E35" i="2"/>
  <c r="D35" i="2"/>
  <c r="C35" i="2"/>
  <c r="F34" i="2"/>
  <c r="E34" i="2"/>
  <c r="D34" i="2"/>
  <c r="C34" i="2"/>
  <c r="G31" i="2"/>
  <c r="G30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C26" i="2"/>
  <c r="F25" i="2"/>
  <c r="C25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D31" i="2" s="1"/>
  <c r="C21" i="2"/>
  <c r="G18" i="2"/>
  <c r="D18" i="2"/>
  <c r="G17" i="2"/>
  <c r="F17" i="2"/>
  <c r="E17" i="2"/>
  <c r="D17" i="2"/>
  <c r="C17" i="2"/>
  <c r="G16" i="2"/>
  <c r="F16" i="2"/>
  <c r="E16" i="2"/>
  <c r="D16" i="2"/>
  <c r="C16" i="2"/>
  <c r="F15" i="2"/>
  <c r="E15" i="2"/>
  <c r="D15" i="2"/>
  <c r="C15" i="2"/>
  <c r="F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C10" i="2"/>
  <c r="G9" i="2"/>
  <c r="F9" i="2"/>
  <c r="E9" i="2"/>
  <c r="D9" i="2"/>
  <c r="C9" i="2"/>
  <c r="G8" i="2"/>
  <c r="F8" i="2"/>
  <c r="E8" i="2"/>
  <c r="D8" i="2"/>
  <c r="C8" i="2"/>
  <c r="A2" i="2"/>
  <c r="A1" i="2"/>
  <c r="D39" i="13"/>
  <c r="H33" i="13"/>
  <c r="G31" i="13"/>
  <c r="F31" i="13"/>
  <c r="D31" i="13"/>
  <c r="C31" i="13"/>
  <c r="H25" i="13"/>
  <c r="C25" i="13"/>
  <c r="F22" i="13"/>
  <c r="C22" i="13"/>
  <c r="G19" i="13"/>
  <c r="F19" i="13"/>
  <c r="D19" i="13"/>
  <c r="C19" i="13"/>
  <c r="G18" i="13"/>
  <c r="F18" i="13"/>
  <c r="D18" i="13"/>
  <c r="C18" i="13"/>
  <c r="G17" i="13"/>
  <c r="F17" i="13"/>
  <c r="D17" i="13"/>
  <c r="C17" i="13"/>
  <c r="G16" i="13"/>
  <c r="F16" i="13"/>
  <c r="G15" i="13"/>
  <c r="F15" i="13"/>
  <c r="G14" i="13"/>
  <c r="F14" i="13"/>
  <c r="G13" i="13"/>
  <c r="F13" i="13"/>
  <c r="G12" i="13"/>
  <c r="F12" i="13"/>
  <c r="C11" i="13"/>
  <c r="C10" i="13"/>
  <c r="C9" i="13"/>
  <c r="G8" i="13"/>
  <c r="G33" i="13" s="1"/>
  <c r="F8" i="13"/>
  <c r="G7" i="13"/>
  <c r="F7" i="13"/>
  <c r="G6" i="13"/>
  <c r="F6" i="13"/>
  <c r="G5" i="13"/>
  <c r="F5" i="13"/>
  <c r="B2" i="13"/>
  <c r="C40" i="12"/>
  <c r="B40" i="12"/>
  <c r="C36" i="12"/>
  <c r="B36" i="12"/>
  <c r="C31" i="12"/>
  <c r="B31" i="12"/>
  <c r="A31" i="12"/>
  <c r="C27" i="12"/>
  <c r="B27" i="12"/>
  <c r="C22" i="12"/>
  <c r="B22" i="12"/>
  <c r="A22" i="12" s="1"/>
  <c r="C18" i="12"/>
  <c r="B18" i="12"/>
  <c r="C13" i="12"/>
  <c r="B13" i="12"/>
  <c r="C9" i="12"/>
  <c r="B9" i="12"/>
  <c r="B4" i="12"/>
  <c r="B1" i="12"/>
  <c r="I669" i="1"/>
  <c r="I668" i="1"/>
  <c r="I664" i="1"/>
  <c r="H662" i="1"/>
  <c r="G662" i="1"/>
  <c r="F662" i="1"/>
  <c r="H661" i="1"/>
  <c r="G661" i="1"/>
  <c r="J654" i="1"/>
  <c r="H654" i="1"/>
  <c r="G654" i="1"/>
  <c r="J653" i="1"/>
  <c r="H653" i="1"/>
  <c r="G653" i="1"/>
  <c r="J652" i="1"/>
  <c r="H652" i="1"/>
  <c r="G652" i="1"/>
  <c r="J651" i="1"/>
  <c r="H651" i="1"/>
  <c r="G651" i="1"/>
  <c r="J650" i="1"/>
  <c r="H650" i="1"/>
  <c r="G650" i="1"/>
  <c r="J649" i="1"/>
  <c r="H649" i="1"/>
  <c r="G649" i="1"/>
  <c r="J645" i="1"/>
  <c r="H645" i="1"/>
  <c r="G645" i="1"/>
  <c r="J644" i="1"/>
  <c r="H644" i="1"/>
  <c r="G644" i="1"/>
  <c r="J643" i="1"/>
  <c r="H643" i="1"/>
  <c r="G643" i="1"/>
  <c r="J642" i="1"/>
  <c r="H642" i="1"/>
  <c r="G642" i="1"/>
  <c r="J641" i="1"/>
  <c r="H641" i="1"/>
  <c r="G641" i="1"/>
  <c r="J640" i="1"/>
  <c r="H640" i="1"/>
  <c r="G640" i="1"/>
  <c r="J639" i="1"/>
  <c r="H639" i="1"/>
  <c r="G639" i="1"/>
  <c r="J638" i="1"/>
  <c r="H638" i="1"/>
  <c r="G638" i="1"/>
  <c r="H637" i="1"/>
  <c r="J636" i="1"/>
  <c r="H636" i="1"/>
  <c r="G636" i="1"/>
  <c r="H635" i="1"/>
  <c r="H634" i="1"/>
  <c r="J632" i="1"/>
  <c r="H632" i="1"/>
  <c r="G632" i="1"/>
  <c r="H631" i="1"/>
  <c r="J630" i="1"/>
  <c r="H630" i="1"/>
  <c r="G630" i="1"/>
  <c r="H629" i="1"/>
  <c r="J628" i="1"/>
  <c r="H628" i="1"/>
  <c r="G628" i="1"/>
  <c r="H627" i="1"/>
  <c r="H626" i="1"/>
  <c r="J625" i="1"/>
  <c r="H625" i="1"/>
  <c r="G625" i="1"/>
  <c r="J623" i="1"/>
  <c r="H623" i="1"/>
  <c r="G623" i="1"/>
  <c r="J620" i="1"/>
  <c r="H620" i="1"/>
  <c r="G620" i="1"/>
  <c r="L613" i="1"/>
  <c r="K613" i="1"/>
  <c r="J613" i="1"/>
  <c r="I613" i="1"/>
  <c r="H613" i="1"/>
  <c r="G613" i="1"/>
  <c r="F613" i="1"/>
  <c r="L612" i="1"/>
  <c r="G612" i="1"/>
  <c r="L611" i="1"/>
  <c r="G611" i="1"/>
  <c r="L610" i="1"/>
  <c r="H610" i="1"/>
  <c r="G610" i="1"/>
  <c r="F610" i="1"/>
  <c r="J604" i="1"/>
  <c r="I604" i="1"/>
  <c r="H604" i="1"/>
  <c r="K603" i="1"/>
  <c r="K604" i="1" s="1"/>
  <c r="G647" i="1" s="1"/>
  <c r="K602" i="1"/>
  <c r="K601" i="1"/>
  <c r="J597" i="1"/>
  <c r="I597" i="1"/>
  <c r="H597" i="1"/>
  <c r="H648" i="1" s="1"/>
  <c r="K596" i="1"/>
  <c r="K595" i="1"/>
  <c r="K594" i="1"/>
  <c r="K597" i="1" s="1"/>
  <c r="G646" i="1" s="1"/>
  <c r="K593" i="1"/>
  <c r="K592" i="1"/>
  <c r="K591" i="1"/>
  <c r="H591" i="1"/>
  <c r="K590" i="1"/>
  <c r="H590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L570" i="1"/>
  <c r="K570" i="1"/>
  <c r="J570" i="1"/>
  <c r="I570" i="1"/>
  <c r="H570" i="1"/>
  <c r="G570" i="1"/>
  <c r="F570" i="1"/>
  <c r="L569" i="1"/>
  <c r="K569" i="1"/>
  <c r="J569" i="1"/>
  <c r="I569" i="1"/>
  <c r="H569" i="1"/>
  <c r="G569" i="1"/>
  <c r="F569" i="1"/>
  <c r="L568" i="1"/>
  <c r="L567" i="1"/>
  <c r="L566" i="1"/>
  <c r="L564" i="1"/>
  <c r="K564" i="1"/>
  <c r="J564" i="1"/>
  <c r="I564" i="1"/>
  <c r="H564" i="1"/>
  <c r="G564" i="1"/>
  <c r="F564" i="1"/>
  <c r="L563" i="1"/>
  <c r="L562" i="1"/>
  <c r="L561" i="1"/>
  <c r="L559" i="1"/>
  <c r="K559" i="1"/>
  <c r="J559" i="1"/>
  <c r="I559" i="1"/>
  <c r="H559" i="1"/>
  <c r="G559" i="1"/>
  <c r="F559" i="1"/>
  <c r="L558" i="1"/>
  <c r="L557" i="1"/>
  <c r="L556" i="1"/>
  <c r="J551" i="1"/>
  <c r="J550" i="1"/>
  <c r="J549" i="1"/>
  <c r="J548" i="1"/>
  <c r="L543" i="1"/>
  <c r="K543" i="1"/>
  <c r="J543" i="1"/>
  <c r="I543" i="1"/>
  <c r="H543" i="1"/>
  <c r="G543" i="1"/>
  <c r="F543" i="1"/>
  <c r="L542" i="1"/>
  <c r="L541" i="1"/>
  <c r="L540" i="1"/>
  <c r="H540" i="1"/>
  <c r="K538" i="1"/>
  <c r="J538" i="1"/>
  <c r="I538" i="1"/>
  <c r="H538" i="1"/>
  <c r="G538" i="1"/>
  <c r="F538" i="1"/>
  <c r="L537" i="1"/>
  <c r="I550" i="1" s="1"/>
  <c r="L536" i="1"/>
  <c r="I549" i="1" s="1"/>
  <c r="L535" i="1"/>
  <c r="I548" i="1" s="1"/>
  <c r="K533" i="1"/>
  <c r="J533" i="1"/>
  <c r="I533" i="1"/>
  <c r="H533" i="1"/>
  <c r="G533" i="1"/>
  <c r="F533" i="1"/>
  <c r="L532" i="1"/>
  <c r="H550" i="1" s="1"/>
  <c r="L531" i="1"/>
  <c r="H549" i="1" s="1"/>
  <c r="L530" i="1"/>
  <c r="K528" i="1"/>
  <c r="J528" i="1"/>
  <c r="I528" i="1"/>
  <c r="H528" i="1"/>
  <c r="G528" i="1"/>
  <c r="F528" i="1"/>
  <c r="L527" i="1"/>
  <c r="G550" i="1" s="1"/>
  <c r="L526" i="1"/>
  <c r="L525" i="1"/>
  <c r="G548" i="1" s="1"/>
  <c r="K523" i="1"/>
  <c r="J523" i="1"/>
  <c r="I523" i="1"/>
  <c r="H523" i="1"/>
  <c r="G523" i="1"/>
  <c r="F523" i="1"/>
  <c r="L522" i="1"/>
  <c r="L521" i="1"/>
  <c r="F549" i="1" s="1"/>
  <c r="L520" i="1"/>
  <c r="F548" i="1" s="1"/>
  <c r="I516" i="1"/>
  <c r="H516" i="1"/>
  <c r="G516" i="1"/>
  <c r="F516" i="1"/>
  <c r="K502" i="1"/>
  <c r="J502" i="1"/>
  <c r="I502" i="1"/>
  <c r="H502" i="1"/>
  <c r="G502" i="1"/>
  <c r="F502" i="1"/>
  <c r="K501" i="1"/>
  <c r="K500" i="1"/>
  <c r="K499" i="1"/>
  <c r="J499" i="1"/>
  <c r="I499" i="1"/>
  <c r="H499" i="1"/>
  <c r="G499" i="1"/>
  <c r="F499" i="1"/>
  <c r="K498" i="1"/>
  <c r="F498" i="1"/>
  <c r="K497" i="1"/>
  <c r="F497" i="1"/>
  <c r="K496" i="1"/>
  <c r="K495" i="1"/>
  <c r="K494" i="1"/>
  <c r="J475" i="1"/>
  <c r="H475" i="1"/>
  <c r="J473" i="1"/>
  <c r="I473" i="1"/>
  <c r="H473" i="1"/>
  <c r="G473" i="1"/>
  <c r="F473" i="1"/>
  <c r="J471" i="1"/>
  <c r="J469" i="1"/>
  <c r="I469" i="1"/>
  <c r="H469" i="1"/>
  <c r="G469" i="1"/>
  <c r="G475" i="1" s="1"/>
  <c r="H622" i="1" s="1"/>
  <c r="F469" i="1"/>
  <c r="J467" i="1"/>
  <c r="I460" i="1"/>
  <c r="H460" i="1"/>
  <c r="G460" i="1"/>
  <c r="F460" i="1"/>
  <c r="I459" i="1"/>
  <c r="H459" i="1"/>
  <c r="G459" i="1"/>
  <c r="F459" i="1"/>
  <c r="I458" i="1"/>
  <c r="I457" i="1"/>
  <c r="I456" i="1"/>
  <c r="I455" i="1"/>
  <c r="I454" i="1"/>
  <c r="I453" i="1"/>
  <c r="I451" i="1"/>
  <c r="H451" i="1"/>
  <c r="G451" i="1"/>
  <c r="F451" i="1"/>
  <c r="I450" i="1"/>
  <c r="I449" i="1"/>
  <c r="I448" i="1"/>
  <c r="I447" i="1"/>
  <c r="I445" i="1"/>
  <c r="H445" i="1"/>
  <c r="G445" i="1"/>
  <c r="F445" i="1"/>
  <c r="I444" i="1"/>
  <c r="I443" i="1"/>
  <c r="I442" i="1"/>
  <c r="I441" i="1"/>
  <c r="I440" i="1"/>
  <c r="I439" i="1"/>
  <c r="I438" i="1"/>
  <c r="F438" i="1"/>
  <c r="J433" i="1"/>
  <c r="I433" i="1"/>
  <c r="G433" i="1"/>
  <c r="L432" i="1"/>
  <c r="K432" i="1"/>
  <c r="J432" i="1"/>
  <c r="I432" i="1"/>
  <c r="H432" i="1"/>
  <c r="G432" i="1"/>
  <c r="F432" i="1"/>
  <c r="L431" i="1"/>
  <c r="L430" i="1"/>
  <c r="L429" i="1"/>
  <c r="L428" i="1"/>
  <c r="K426" i="1"/>
  <c r="K433" i="1" s="1"/>
  <c r="G133" i="2" s="1"/>
  <c r="G143" i="2" s="1"/>
  <c r="G144" i="2" s="1"/>
  <c r="J426" i="1"/>
  <c r="I426" i="1"/>
  <c r="H426" i="1"/>
  <c r="G426" i="1"/>
  <c r="F426" i="1"/>
  <c r="F433" i="1" s="1"/>
  <c r="L425" i="1"/>
  <c r="L426" i="1" s="1"/>
  <c r="L424" i="1"/>
  <c r="L423" i="1"/>
  <c r="L422" i="1"/>
  <c r="L421" i="1"/>
  <c r="L420" i="1"/>
  <c r="K418" i="1"/>
  <c r="J418" i="1"/>
  <c r="I418" i="1"/>
  <c r="H418" i="1"/>
  <c r="H433" i="1" s="1"/>
  <c r="G418" i="1"/>
  <c r="F418" i="1"/>
  <c r="L417" i="1"/>
  <c r="L416" i="1"/>
  <c r="L415" i="1"/>
  <c r="L414" i="1"/>
  <c r="L418" i="1" s="1"/>
  <c r="L413" i="1"/>
  <c r="L412" i="1"/>
  <c r="L407" i="1"/>
  <c r="I407" i="1"/>
  <c r="H407" i="1"/>
  <c r="G407" i="1"/>
  <c r="F407" i="1"/>
  <c r="L406" i="1"/>
  <c r="I406" i="1"/>
  <c r="H406" i="1"/>
  <c r="G406" i="1"/>
  <c r="F406" i="1"/>
  <c r="L405" i="1"/>
  <c r="L404" i="1"/>
  <c r="L403" i="1"/>
  <c r="L402" i="1"/>
  <c r="L400" i="1"/>
  <c r="I400" i="1"/>
  <c r="H400" i="1"/>
  <c r="G400" i="1"/>
  <c r="F400" i="1"/>
  <c r="L399" i="1"/>
  <c r="L398" i="1"/>
  <c r="L397" i="1"/>
  <c r="L396" i="1"/>
  <c r="L395" i="1"/>
  <c r="L394" i="1"/>
  <c r="L392" i="1"/>
  <c r="I392" i="1"/>
  <c r="H392" i="1"/>
  <c r="G392" i="1"/>
  <c r="F392" i="1"/>
  <c r="L391" i="1"/>
  <c r="L390" i="1"/>
  <c r="L389" i="1"/>
  <c r="L388" i="1"/>
  <c r="L387" i="1"/>
  <c r="L386" i="1"/>
  <c r="K381" i="1"/>
  <c r="J381" i="1"/>
  <c r="I381" i="1"/>
  <c r="H381" i="1"/>
  <c r="G381" i="1"/>
  <c r="F381" i="1"/>
  <c r="L380" i="1"/>
  <c r="L379" i="1"/>
  <c r="L378" i="1"/>
  <c r="L377" i="1"/>
  <c r="L381" i="1" s="1"/>
  <c r="G635" i="1" s="1"/>
  <c r="J635" i="1" s="1"/>
  <c r="H377" i="1"/>
  <c r="L376" i="1"/>
  <c r="L375" i="1"/>
  <c r="L374" i="1"/>
  <c r="L373" i="1"/>
  <c r="H368" i="1"/>
  <c r="G368" i="1"/>
  <c r="F368" i="1"/>
  <c r="I367" i="1"/>
  <c r="I366" i="1"/>
  <c r="K361" i="1"/>
  <c r="J361" i="1"/>
  <c r="I361" i="1"/>
  <c r="G633" i="1" s="1"/>
  <c r="H361" i="1"/>
  <c r="G361" i="1"/>
  <c r="F361" i="1"/>
  <c r="L360" i="1"/>
  <c r="L359" i="1"/>
  <c r="H359" i="1"/>
  <c r="G359" i="1"/>
  <c r="F359" i="1"/>
  <c r="L358" i="1"/>
  <c r="H358" i="1"/>
  <c r="G358" i="1"/>
  <c r="F358" i="1"/>
  <c r="L357" i="1"/>
  <c r="H660" i="1" s="1"/>
  <c r="K357" i="1"/>
  <c r="J357" i="1"/>
  <c r="H357" i="1"/>
  <c r="G357" i="1"/>
  <c r="F357" i="1"/>
  <c r="L351" i="1"/>
  <c r="K351" i="1"/>
  <c r="J351" i="1"/>
  <c r="I351" i="1"/>
  <c r="H351" i="1"/>
  <c r="G351" i="1"/>
  <c r="F351" i="1"/>
  <c r="L350" i="1"/>
  <c r="K350" i="1"/>
  <c r="L349" i="1"/>
  <c r="L348" i="1"/>
  <c r="L346" i="1"/>
  <c r="L345" i="1"/>
  <c r="L344" i="1"/>
  <c r="L343" i="1"/>
  <c r="L341" i="1"/>
  <c r="L340" i="1"/>
  <c r="L337" i="1"/>
  <c r="K337" i="1"/>
  <c r="J337" i="1"/>
  <c r="I337" i="1"/>
  <c r="H337" i="1"/>
  <c r="G337" i="1"/>
  <c r="F337" i="1"/>
  <c r="L336" i="1"/>
  <c r="K336" i="1"/>
  <c r="J336" i="1"/>
  <c r="I336" i="1"/>
  <c r="H336" i="1"/>
  <c r="G336" i="1"/>
  <c r="F336" i="1"/>
  <c r="L335" i="1"/>
  <c r="L334" i="1"/>
  <c r="L333" i="1"/>
  <c r="L332" i="1"/>
  <c r="L331" i="1"/>
  <c r="L327" i="1"/>
  <c r="K327" i="1"/>
  <c r="J327" i="1"/>
  <c r="I327" i="1"/>
  <c r="H327" i="1"/>
  <c r="G327" i="1"/>
  <c r="F327" i="1"/>
  <c r="L325" i="1"/>
  <c r="L324" i="1"/>
  <c r="L323" i="1"/>
  <c r="L322" i="1"/>
  <c r="L321" i="1"/>
  <c r="L320" i="1"/>
  <c r="L319" i="1"/>
  <c r="H319" i="1"/>
  <c r="L318" i="1"/>
  <c r="H318" i="1"/>
  <c r="L316" i="1"/>
  <c r="L315" i="1"/>
  <c r="L314" i="1"/>
  <c r="J314" i="1"/>
  <c r="L313" i="1"/>
  <c r="H313" i="1"/>
  <c r="G313" i="1"/>
  <c r="F313" i="1"/>
  <c r="L308" i="1"/>
  <c r="K308" i="1"/>
  <c r="J308" i="1"/>
  <c r="I308" i="1"/>
  <c r="H308" i="1"/>
  <c r="G308" i="1"/>
  <c r="F308" i="1"/>
  <c r="L306" i="1"/>
  <c r="L305" i="1"/>
  <c r="L304" i="1"/>
  <c r="L303" i="1"/>
  <c r="L302" i="1"/>
  <c r="L301" i="1"/>
  <c r="L300" i="1"/>
  <c r="I300" i="1"/>
  <c r="H300" i="1"/>
  <c r="L299" i="1"/>
  <c r="H299" i="1"/>
  <c r="L297" i="1"/>
  <c r="L296" i="1"/>
  <c r="L295" i="1"/>
  <c r="L294" i="1"/>
  <c r="H294" i="1"/>
  <c r="G294" i="1"/>
  <c r="F294" i="1"/>
  <c r="L289" i="1"/>
  <c r="K289" i="1"/>
  <c r="J289" i="1"/>
  <c r="I289" i="1"/>
  <c r="H289" i="1"/>
  <c r="G289" i="1"/>
  <c r="F289" i="1"/>
  <c r="L287" i="1"/>
  <c r="L286" i="1"/>
  <c r="L285" i="1"/>
  <c r="L284" i="1"/>
  <c r="L283" i="1"/>
  <c r="L282" i="1"/>
  <c r="I282" i="1"/>
  <c r="L281" i="1"/>
  <c r="I281" i="1"/>
  <c r="H281" i="1"/>
  <c r="G281" i="1"/>
  <c r="F281" i="1"/>
  <c r="L280" i="1"/>
  <c r="J280" i="1"/>
  <c r="I280" i="1"/>
  <c r="H280" i="1"/>
  <c r="L278" i="1"/>
  <c r="G278" i="1"/>
  <c r="L277" i="1"/>
  <c r="L276" i="1"/>
  <c r="J276" i="1"/>
  <c r="I276" i="1"/>
  <c r="H276" i="1"/>
  <c r="G276" i="1"/>
  <c r="L275" i="1"/>
  <c r="H275" i="1"/>
  <c r="G275" i="1"/>
  <c r="F275" i="1"/>
  <c r="F270" i="1"/>
  <c r="L269" i="1"/>
  <c r="K269" i="1"/>
  <c r="J269" i="1"/>
  <c r="I269" i="1"/>
  <c r="H269" i="1"/>
  <c r="G269" i="1"/>
  <c r="F269" i="1"/>
  <c r="L268" i="1"/>
  <c r="L267" i="1"/>
  <c r="L265" i="1"/>
  <c r="L264" i="1"/>
  <c r="L263" i="1"/>
  <c r="L262" i="1"/>
  <c r="L260" i="1"/>
  <c r="L259" i="1"/>
  <c r="F256" i="1"/>
  <c r="L255" i="1"/>
  <c r="K255" i="1"/>
  <c r="J255" i="1"/>
  <c r="I255" i="1"/>
  <c r="H255" i="1"/>
  <c r="G255" i="1"/>
  <c r="F255" i="1"/>
  <c r="L254" i="1"/>
  <c r="L253" i="1"/>
  <c r="L252" i="1"/>
  <c r="L251" i="1"/>
  <c r="L250" i="1"/>
  <c r="L249" i="1"/>
  <c r="K246" i="1"/>
  <c r="J246" i="1"/>
  <c r="I246" i="1"/>
  <c r="H246" i="1"/>
  <c r="G246" i="1"/>
  <c r="F246" i="1"/>
  <c r="L244" i="1"/>
  <c r="L243" i="1"/>
  <c r="L242" i="1"/>
  <c r="L241" i="1"/>
  <c r="H241" i="1"/>
  <c r="L240" i="1"/>
  <c r="L239" i="1"/>
  <c r="K239" i="1"/>
  <c r="F239" i="1"/>
  <c r="L238" i="1"/>
  <c r="L237" i="1"/>
  <c r="F237" i="1"/>
  <c r="L235" i="1"/>
  <c r="L234" i="1"/>
  <c r="C12" i="10" s="1"/>
  <c r="L233" i="1"/>
  <c r="L232" i="1"/>
  <c r="I232" i="1"/>
  <c r="H232" i="1"/>
  <c r="G232" i="1"/>
  <c r="K228" i="1"/>
  <c r="J228" i="1"/>
  <c r="I228" i="1"/>
  <c r="H228" i="1"/>
  <c r="G228" i="1"/>
  <c r="F228" i="1"/>
  <c r="L226" i="1"/>
  <c r="L225" i="1"/>
  <c r="L224" i="1"/>
  <c r="L223" i="1"/>
  <c r="H223" i="1"/>
  <c r="L222" i="1"/>
  <c r="L221" i="1"/>
  <c r="K221" i="1"/>
  <c r="F221" i="1"/>
  <c r="L220" i="1"/>
  <c r="L219" i="1"/>
  <c r="H219" i="1"/>
  <c r="F219" i="1"/>
  <c r="L217" i="1"/>
  <c r="L216" i="1"/>
  <c r="L215" i="1"/>
  <c r="L214" i="1"/>
  <c r="C108" i="2" s="1"/>
  <c r="I214" i="1"/>
  <c r="G214" i="1"/>
  <c r="K210" i="1"/>
  <c r="K256" i="1" s="1"/>
  <c r="K270" i="1" s="1"/>
  <c r="J210" i="1"/>
  <c r="I210" i="1"/>
  <c r="H210" i="1"/>
  <c r="G210" i="1"/>
  <c r="F210" i="1"/>
  <c r="L208" i="1"/>
  <c r="C124" i="2" s="1"/>
  <c r="H208" i="1"/>
  <c r="L207" i="1"/>
  <c r="F661" i="1" s="1"/>
  <c r="I661" i="1" s="1"/>
  <c r="L206" i="1"/>
  <c r="L205" i="1"/>
  <c r="C19" i="10" s="1"/>
  <c r="L204" i="1"/>
  <c r="L203" i="1"/>
  <c r="F203" i="1"/>
  <c r="L202" i="1"/>
  <c r="C16" i="10" s="1"/>
  <c r="F202" i="1"/>
  <c r="L201" i="1"/>
  <c r="J201" i="1"/>
  <c r="I201" i="1"/>
  <c r="F201" i="1"/>
  <c r="L199" i="1"/>
  <c r="L198" i="1"/>
  <c r="L197" i="1"/>
  <c r="L196" i="1"/>
  <c r="J196" i="1"/>
  <c r="I196" i="1"/>
  <c r="H196" i="1"/>
  <c r="G196" i="1"/>
  <c r="J192" i="1"/>
  <c r="H192" i="1"/>
  <c r="J191" i="1"/>
  <c r="I191" i="1"/>
  <c r="H191" i="1"/>
  <c r="G191" i="1"/>
  <c r="F191" i="1"/>
  <c r="I187" i="1"/>
  <c r="H187" i="1"/>
  <c r="G187" i="1"/>
  <c r="F187" i="1"/>
  <c r="J182" i="1"/>
  <c r="I182" i="1"/>
  <c r="H182" i="1"/>
  <c r="G182" i="1"/>
  <c r="F182" i="1"/>
  <c r="I176" i="1"/>
  <c r="F176" i="1"/>
  <c r="I168" i="1"/>
  <c r="H168" i="1"/>
  <c r="G168" i="1"/>
  <c r="F168" i="1"/>
  <c r="I161" i="1"/>
  <c r="H161" i="1"/>
  <c r="G161" i="1"/>
  <c r="F161" i="1"/>
  <c r="H158" i="1"/>
  <c r="H154" i="1"/>
  <c r="H153" i="1"/>
  <c r="I146" i="1"/>
  <c r="H146" i="1"/>
  <c r="G146" i="1"/>
  <c r="F146" i="1"/>
  <c r="J139" i="1"/>
  <c r="H139" i="1"/>
  <c r="G139" i="1"/>
  <c r="F139" i="1"/>
  <c r="J135" i="1"/>
  <c r="I135" i="1"/>
  <c r="I139" i="1" s="1"/>
  <c r="C38" i="10" s="1"/>
  <c r="H135" i="1"/>
  <c r="G135" i="1"/>
  <c r="F135" i="1"/>
  <c r="G131" i="1"/>
  <c r="J120" i="1"/>
  <c r="I120" i="1"/>
  <c r="H120" i="1"/>
  <c r="G120" i="1"/>
  <c r="F120" i="1"/>
  <c r="J111" i="1"/>
  <c r="H111" i="1"/>
  <c r="J110" i="1"/>
  <c r="I110" i="1"/>
  <c r="H110" i="1"/>
  <c r="G110" i="1"/>
  <c r="G111" i="1" s="1"/>
  <c r="G192" i="1" s="1"/>
  <c r="G627" i="1" s="1"/>
  <c r="J627" i="1" s="1"/>
  <c r="F110" i="1"/>
  <c r="J95" i="1"/>
  <c r="H93" i="1"/>
  <c r="F93" i="1"/>
  <c r="H78" i="1"/>
  <c r="F78" i="1"/>
  <c r="J59" i="1"/>
  <c r="I59" i="1"/>
  <c r="I111" i="1" s="1"/>
  <c r="H59" i="1"/>
  <c r="G59" i="1"/>
  <c r="F59" i="1"/>
  <c r="C55" i="2" s="1"/>
  <c r="J51" i="1"/>
  <c r="J50" i="1"/>
  <c r="I50" i="1"/>
  <c r="G624" i="1" s="1"/>
  <c r="H50" i="1"/>
  <c r="G50" i="1"/>
  <c r="F50" i="1"/>
  <c r="G621" i="1" s="1"/>
  <c r="J48" i="1"/>
  <c r="J47" i="1"/>
  <c r="J45" i="1"/>
  <c r="J43" i="1"/>
  <c r="J39" i="1"/>
  <c r="J37" i="1"/>
  <c r="J32" i="1"/>
  <c r="I32" i="1"/>
  <c r="H32" i="1"/>
  <c r="H51" i="1" s="1"/>
  <c r="H618" i="1" s="1"/>
  <c r="G32" i="1"/>
  <c r="F32" i="1"/>
  <c r="J31" i="1"/>
  <c r="J24" i="1"/>
  <c r="J23" i="1"/>
  <c r="J22" i="1"/>
  <c r="J19" i="1"/>
  <c r="I19" i="1"/>
  <c r="G619" i="1" s="1"/>
  <c r="H19" i="1"/>
  <c r="G618" i="1" s="1"/>
  <c r="G19" i="1"/>
  <c r="G617" i="1" s="1"/>
  <c r="F19" i="1"/>
  <c r="G616" i="1" s="1"/>
  <c r="J18" i="1"/>
  <c r="J17" i="1"/>
  <c r="J14" i="1"/>
  <c r="J13" i="1"/>
  <c r="G13" i="1"/>
  <c r="J12" i="1"/>
  <c r="J10" i="1"/>
  <c r="J9" i="1"/>
  <c r="L433" i="1" l="1"/>
  <c r="G637" i="1" s="1"/>
  <c r="J637" i="1" s="1"/>
  <c r="C62" i="2"/>
  <c r="C103" i="2" s="1"/>
  <c r="E31" i="2"/>
  <c r="E50" i="2" s="1"/>
  <c r="J618" i="1"/>
  <c r="E18" i="2"/>
  <c r="F475" i="1"/>
  <c r="H621" i="1" s="1"/>
  <c r="J621" i="1" s="1"/>
  <c r="F111" i="1"/>
  <c r="F192" i="1" s="1"/>
  <c r="G626" i="1" s="1"/>
  <c r="J626" i="1" s="1"/>
  <c r="C18" i="2"/>
  <c r="A40" i="12"/>
  <c r="C49" i="2"/>
  <c r="G51" i="1"/>
  <c r="H617" i="1" s="1"/>
  <c r="J617" i="1" s="1"/>
  <c r="D50" i="2"/>
  <c r="G622" i="1"/>
  <c r="J622" i="1" s="1"/>
  <c r="C31" i="2"/>
  <c r="A13" i="12"/>
  <c r="F51" i="1"/>
  <c r="H616" i="1" s="1"/>
  <c r="J616" i="1" s="1"/>
  <c r="G544" i="1"/>
  <c r="K544" i="1"/>
  <c r="J544" i="1"/>
  <c r="I544" i="1"/>
  <c r="L533" i="1"/>
  <c r="H548" i="1"/>
  <c r="H551" i="1" s="1"/>
  <c r="F544" i="1"/>
  <c r="L528" i="1"/>
  <c r="G549" i="1"/>
  <c r="G551" i="1" s="1"/>
  <c r="K549" i="1"/>
  <c r="L523" i="1"/>
  <c r="H544" i="1"/>
  <c r="F550" i="1"/>
  <c r="F551" i="1" s="1"/>
  <c r="L538" i="1"/>
  <c r="I551" i="1"/>
  <c r="I475" i="1"/>
  <c r="H624" i="1" s="1"/>
  <c r="J624" i="1" s="1"/>
  <c r="F31" i="2"/>
  <c r="F18" i="2"/>
  <c r="F49" i="2"/>
  <c r="I51" i="1"/>
  <c r="H619" i="1" s="1"/>
  <c r="J619" i="1" s="1"/>
  <c r="I192" i="1"/>
  <c r="G629" i="1" s="1"/>
  <c r="J629" i="1" s="1"/>
  <c r="F129" i="2"/>
  <c r="F143" i="2" s="1"/>
  <c r="F144" i="2" s="1"/>
  <c r="C29" i="10"/>
  <c r="C35" i="10"/>
  <c r="F55" i="2"/>
  <c r="F62" i="2" s="1"/>
  <c r="F103" i="2" s="1"/>
  <c r="I368" i="1"/>
  <c r="H633" i="1" s="1"/>
  <c r="F660" i="1"/>
  <c r="L361" i="1"/>
  <c r="G660" i="1"/>
  <c r="D29" i="13"/>
  <c r="C29" i="13" s="1"/>
  <c r="D126" i="2"/>
  <c r="D127" i="2" s="1"/>
  <c r="D144" i="2" s="1"/>
  <c r="J633" i="1"/>
  <c r="E16" i="13"/>
  <c r="C16" i="13" s="1"/>
  <c r="C123" i="2"/>
  <c r="C21" i="10"/>
  <c r="G648" i="1"/>
  <c r="J648" i="1" s="1"/>
  <c r="D15" i="13"/>
  <c r="C15" i="13" s="1"/>
  <c r="H646" i="1"/>
  <c r="J646" i="1" s="1"/>
  <c r="C20" i="10"/>
  <c r="D14" i="13"/>
  <c r="C14" i="13" s="1"/>
  <c r="C122" i="2"/>
  <c r="E13" i="13"/>
  <c r="C13" i="13" s="1"/>
  <c r="C121" i="2"/>
  <c r="F33" i="13"/>
  <c r="J256" i="1"/>
  <c r="C120" i="2"/>
  <c r="D12" i="13"/>
  <c r="C12" i="13" s="1"/>
  <c r="C18" i="10"/>
  <c r="C17" i="10"/>
  <c r="E8" i="13"/>
  <c r="C119" i="2"/>
  <c r="C118" i="2"/>
  <c r="D7" i="13"/>
  <c r="C7" i="13" s="1"/>
  <c r="I256" i="1"/>
  <c r="I270" i="1" s="1"/>
  <c r="D6" i="13"/>
  <c r="C6" i="13" s="1"/>
  <c r="C117" i="2"/>
  <c r="C15" i="10"/>
  <c r="C110" i="2"/>
  <c r="C13" i="10"/>
  <c r="C111" i="2"/>
  <c r="I662" i="1"/>
  <c r="C11" i="10"/>
  <c r="H256" i="1"/>
  <c r="H270" i="1" s="1"/>
  <c r="L246" i="1"/>
  <c r="H659" i="1" s="1"/>
  <c r="H663" i="1" s="1"/>
  <c r="H671" i="1" s="1"/>
  <c r="C6" i="10" s="1"/>
  <c r="G256" i="1"/>
  <c r="G270" i="1" s="1"/>
  <c r="L210" i="1"/>
  <c r="F659" i="1" s="1"/>
  <c r="C109" i="2"/>
  <c r="H647" i="1"/>
  <c r="J647" i="1" s="1"/>
  <c r="J270" i="1"/>
  <c r="L228" i="1"/>
  <c r="D5" i="13"/>
  <c r="C10" i="10"/>
  <c r="C50" i="2" l="1"/>
  <c r="I660" i="1"/>
  <c r="K548" i="1"/>
  <c r="L544" i="1"/>
  <c r="K550" i="1"/>
  <c r="F50" i="2"/>
  <c r="C36" i="10"/>
  <c r="C41" i="10" s="1"/>
  <c r="F663" i="1"/>
  <c r="F671" i="1" s="1"/>
  <c r="C4" i="10" s="1"/>
  <c r="G634" i="1"/>
  <c r="J634" i="1" s="1"/>
  <c r="C27" i="10"/>
  <c r="C28" i="10" s="1"/>
  <c r="D10" i="10" s="1"/>
  <c r="C127" i="2"/>
  <c r="C8" i="13"/>
  <c r="E33" i="13"/>
  <c r="D35" i="13" s="1"/>
  <c r="C114" i="2"/>
  <c r="H666" i="1"/>
  <c r="C5" i="13"/>
  <c r="D33" i="13"/>
  <c r="D36" i="13" s="1"/>
  <c r="L256" i="1"/>
  <c r="L270" i="1" s="1"/>
  <c r="G631" i="1" s="1"/>
  <c r="G659" i="1"/>
  <c r="K551" i="1" l="1"/>
  <c r="D40" i="10"/>
  <c r="D38" i="10"/>
  <c r="D39" i="10"/>
  <c r="D37" i="10"/>
  <c r="D35" i="10"/>
  <c r="D36" i="10"/>
  <c r="F666" i="1"/>
  <c r="C144" i="2"/>
  <c r="I659" i="1"/>
  <c r="I663" i="1" s="1"/>
  <c r="G663" i="1"/>
  <c r="H655" i="1"/>
  <c r="J631" i="1"/>
  <c r="D21" i="10"/>
  <c r="D19" i="10"/>
  <c r="D17" i="10"/>
  <c r="D15" i="10"/>
  <c r="D12" i="10"/>
  <c r="C30" i="10"/>
  <c r="D27" i="10"/>
  <c r="D25" i="10"/>
  <c r="D23" i="10"/>
  <c r="D20" i="10"/>
  <c r="D18" i="10"/>
  <c r="D16" i="10"/>
  <c r="D13" i="10"/>
  <c r="D11" i="10"/>
  <c r="D26" i="10"/>
  <c r="D24" i="10"/>
  <c r="D22" i="10"/>
  <c r="D41" i="10" l="1"/>
  <c r="D28" i="10"/>
  <c r="G671" i="1"/>
  <c r="C5" i="10" s="1"/>
  <c r="G666" i="1"/>
  <c r="I666" i="1"/>
  <c r="I671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<sst xmlns="http://schemas.openxmlformats.org/spreadsheetml/2006/main" count="4008" uniqueCount="922">
  <si>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</si>
  <si>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</si>
  <si>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</si>
  <si>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</si>
  <si>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</si>
  <si>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</si>
  <si>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</si>
  <si>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</si>
  <si>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</si>
  <si>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</si>
  <si>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</si>
  <si>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</si>
  <si>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</si>
  <si>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</si>
  <si>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</si>
  <si>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</si>
  <si>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</si>
  <si>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</si>
  <si>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</si>
  <si>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</si>
  <si>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</si>
  <si>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</si>
  <si>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</si>
  <si>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</si>
  <si>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</si>
  <si>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</si>
  <si>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</si>
  <si>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</si>
  <si>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</si>
  <si>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</si>
  <si>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</si>
  <si>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</si>
  <si>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</si>
  <si>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</si>
  <si>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</si>
  <si>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</si>
  <si>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</si>
  <si>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</si>
  <si>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</si>
  <si>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</si>
  <si>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</si>
  <si>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</si>
  <si>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</si>
  <si>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</si>
  <si>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</si>
  <si>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</si>
  <si>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</si>
  <si>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</si>
  <si>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</si>
  <si>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</si>
  <si>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</si>
  <si>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</si>
  <si>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</si>
  <si>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</si>
  <si>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</si>
  <si>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</si>
  <si>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</si>
  <si>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</si>
  <si>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</si>
  <si>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</si>
  <si>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</si>
  <si>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</si>
  <si>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</si>
  <si>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</si>
  <si>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</si>
  <si>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</si>
  <si>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</si>
  <si>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</si>
  <si>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</si>
  <si>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</si>
  <si>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</si>
  <si>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</si>
  <si>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</si>
  <si>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</si>
  <si>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</si>
  <si>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</si>
  <si>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</si>
  <si>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</si>
  <si>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</si>
  <si>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</si>
  <si>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</si>
  <si>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</si>
  <si>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</si>
  <si>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</si>
  <si>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</si>
  <si>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</si>
  <si>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</si>
  <si>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</si>
  <si>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</si>
  <si>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</si>
  <si>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</si>
  <si>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</si>
  <si>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</si>
  <si>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</si>
  <si>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</si>
  <si>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</si>
  <si>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</si>
  <si>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</si>
  <si>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</si>
  <si>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</si>
  <si>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</si>
  <si>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</si>
  <si>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</si>
  <si>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</si>
  <si>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</si>
  <si>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</si>
  <si>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</si>
  <si>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</si>
  <si>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</si>
  <si>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</si>
  <si>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</si>
  <si>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</si>
  <si>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</si>
  <si>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</si>
  <si>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</si>
  <si>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</si>
  <si>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</si>
  <si>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</si>
  <si>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</si>
  <si>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</si>
  <si>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</si>
  <si>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</si>
  <si>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</si>
  <si>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</si>
  <si>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</si>
  <si>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</si>
  <si>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</si>
  <si>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</si>
  <si>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</si>
  <si>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</si>
  <si>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</si>
  <si>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</si>
  <si>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</si>
  <si>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</si>
  <si>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</si>
  <si>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</si>
  <si>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</si>
  <si>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</si>
  <si>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</si>
  <si>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</si>
  <si>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</si>
  <si>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</si>
  <si>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</si>
  <si>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</si>
  <si>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</si>
  <si>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</si>
  <si>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</si>
  <si>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</si>
  <si>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</si>
  <si>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</si>
  <si>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</si>
  <si>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</si>
  <si>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</si>
  <si>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</si>
  <si>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</si>
  <si>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</si>
  <si>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</si>
  <si>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</si>
  <si>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</si>
  <si>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</si>
  <si>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</si>
  <si>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</si>
  <si>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</si>
  <si>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</si>
  <si>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</si>
  <si>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</si>
  <si>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</si>
  <si>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</si>
  <si>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</si>
  <si>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</si>
  <si>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</si>
  <si>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</si>
  <si>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</si>
  <si>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</si>
  <si>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</si>
  <si>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</si>
  <si>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</si>
  <si>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</si>
  <si>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</si>
  <si>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</si>
  <si>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</si>
  <si>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</si>
  <si>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</si>
  <si>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</si>
  <si>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</si>
  <si>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</si>
  <si>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</si>
  <si>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</si>
  <si>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</si>
  <si>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</si>
  <si>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</si>
  <si>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</si>
  <si>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</si>
  <si>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</si>
  <si>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</si>
  <si>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</si>
  <si>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</si>
  <si>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</si>
  <si>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</si>
  <si>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</si>
  <si>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</si>
  <si>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</si>
  <si>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</si>
  <si>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</si>
  <si>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</si>
  <si>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</si>
  <si>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</si>
  <si>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</si>
  <si>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</si>
  <si>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</si>
  <si>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</si>
  <si>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</si>
  <si>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</si>
  <si>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</si>
  <si>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</si>
  <si>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</si>
  <si>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</si>
  <si>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</si>
  <si>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</si>
  <si>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</si>
  <si>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</si>
  <si>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</si>
  <si>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</si>
  <si>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</si>
  <si>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</si>
  <si>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</si>
  <si>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</si>
  <si>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</si>
  <si>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</si>
  <si>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</si>
  <si>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</si>
  <si>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</si>
  <si>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</si>
  <si>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</si>
  <si>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</si>
  <si>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</si>
  <si>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</si>
  <si>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</si>
  <si>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</si>
  <si>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</si>
  <si>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</si>
  <si>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</si>
  <si>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</si>
  <si>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</si>
  <si>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</si>
  <si>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</si>
  <si>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</si>
  <si>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</si>
  <si>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</si>
  <si>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</si>
  <si>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</si>
  <si>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</si>
  <si>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</si>
  <si>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</si>
  <si>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</si>
  <si>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</si>
  <si>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</si>
  <si>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</si>
  <si>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</si>
  <si>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</si>
  <si>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</si>
  <si>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</si>
  <si>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</si>
  <si>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</si>
  <si>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</si>
  <si>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</si>
  <si>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</si>
  <si>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</si>
  <si>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</si>
  <si>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</si>
  <si>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</si>
  <si>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</si>
  <si>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</si>
  <si>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</si>
  <si>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</si>
  <si>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</si>
  <si>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</si>
  <si>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</si>
  <si>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</si>
  <si>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</si>
  <si>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</si>
  <si>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</si>
  <si>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</si>
  <si>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</si>
  <si>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</si>
  <si>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</si>
  <si>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</si>
  <si>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</si>
  <si>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</si>
  <si>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</si>
  <si>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</si>
  <si>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</si>
  <si>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</si>
  <si>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</si>
  <si>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</si>
  <si>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</si>
  <si>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</si>
  <si>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</si>
  <si>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</si>
  <si>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</si>
  <si>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</si>
  <si>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</si>
  <si>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</si>
  <si>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</si>
  <si>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</si>
  <si>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</si>
  <si>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</si>
  <si>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</si>
  <si>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</si>
  <si>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</si>
  <si>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</si>
  <si>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</si>
  <si>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</si>
  <si>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</si>
  <si>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</si>
  <si>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</si>
  <si>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</si>
  <si>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</si>
  <si>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</si>
  <si>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</si>
  <si>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</si>
  <si>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</si>
  <si>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</si>
  <si>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</si>
  <si>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</si>
  <si>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</si>
  <si>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</si>
  <si>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</si>
  <si>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</si>
  <si>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</si>
  <si>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</si>
  <si>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</si>
  <si>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</si>
  <si>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</si>
  <si>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</si>
  <si>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</si>
  <si>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</si>
  <si>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</si>
  <si>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</si>
  <si>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</si>
  <si>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</si>
  <si>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</si>
  <si>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</si>
  <si>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</si>
  <si>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</si>
  <si>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</si>
  <si>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</si>
  <si>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</si>
  <si>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</si>
  <si>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</si>
  <si>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</si>
  <si>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</si>
  <si>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</si>
  <si>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</si>
  <si>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</si>
  <si>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</si>
  <si>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</si>
  <si>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</si>
  <si>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</si>
  <si>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</si>
  <si>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</si>
  <si>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</si>
  <si>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</si>
  <si>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</si>
  <si>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</si>
  <si>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</si>
  <si>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</si>
  <si>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</si>
  <si>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</si>
  <si>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</si>
  <si>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</si>
  <si>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</si>
  <si>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</si>
  <si>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</si>
  <si>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</si>
  <si>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</si>
  <si>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</si>
  <si>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</si>
  <si>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</si>
  <si>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</si>
  <si>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</si>
  <si>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</si>
  <si>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</si>
  <si>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</si>
  <si>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</si>
  <si>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</si>
  <si>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</si>
  <si>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</si>
  <si>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</si>
  <si>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</si>
  <si>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</si>
  <si>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</si>
  <si>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</si>
  <si>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</si>
  <si>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</si>
  <si>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</si>
  <si>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</si>
  <si>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</si>
  <si>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</si>
  <si>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</si>
  <si>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</si>
  <si>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</si>
  <si>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</si>
  <si>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</si>
  <si>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</si>
  <si>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</si>
  <si>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</si>
  <si>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</si>
  <si>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</si>
  <si>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</si>
  <si>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</si>
  <si>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</si>
  <si>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</si>
  <si>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</si>
  <si>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</si>
  <si>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</si>
  <si>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</si>
  <si>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</si>
  <si>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</si>
  <si>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</si>
  <si>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</si>
  <si>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</si>
  <si>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</si>
  <si>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</si>
  <si>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</si>
  <si>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</si>
  <si>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</si>
  <si>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</si>
  <si>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</si>
  <si>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</si>
  <si>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</si>
  <si>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</si>
  <si>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</si>
  <si>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</si>
  <si>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</si>
  <si>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</si>
  <si>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</si>
  <si>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</si>
  <si>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</si>
  <si>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</si>
  <si>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</si>
  <si>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</si>
  <si>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</si>
  <si>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</si>
  <si>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</si>
  <si>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</si>
  <si>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</si>
  <si>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</si>
  <si>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</si>
  <si>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</si>
  <si>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</si>
  <si>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</si>
  <si>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</si>
  <si>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</si>
  <si>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</si>
  <si>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</si>
  <si>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</si>
  <si>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</si>
  <si>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</si>
  <si>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</si>
  <si>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</si>
  <si>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</si>
  <si>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</si>
  <si>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</si>
  <si>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</si>
  <si>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</si>
  <si>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</si>
  <si>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</si>
  <si>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</si>
  <si>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</si>
  <si>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</si>
  <si>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</si>
  <si>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</si>
  <si>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</si>
  <si>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</si>
  <si>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</si>
  <si>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</si>
  <si>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</si>
  <si>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</si>
  <si>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</si>
  <si>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</si>
  <si>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</si>
  <si>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</si>
  <si>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</si>
  <si>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</si>
  <si>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</si>
  <si>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</si>
  <si>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</si>
  <si>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</si>
  <si>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</si>
  <si>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</si>
  <si>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</si>
  <si>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</si>
  <si>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</si>
  <si>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</si>
  <si>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</si>
  <si>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</si>
  <si>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</si>
  <si>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</si>
  <si>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</si>
  <si>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</si>
  <si>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</si>
  <si>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</si>
  <si>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</si>
  <si>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</si>
  <si>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</si>
  <si>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</si>
  <si>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</si>
  <si>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</si>
  <si>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</si>
  <si>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</si>
  <si>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</si>
  <si>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</si>
  <si>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</si>
  <si>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</si>
  <si>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</si>
  <si>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</si>
  <si>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</si>
  <si>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</si>
  <si>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</si>
  <si>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</si>
  <si>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</si>
  <si>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</si>
  <si>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</si>
  <si>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</si>
  <si>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</si>
  <si>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</si>
  <si>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</si>
  <si>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</si>
  <si>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</si>
  <si>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</si>
  <si>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</si>
  <si>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</si>
  <si>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</si>
  <si>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</si>
  <si>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</si>
  <si>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</si>
  <si>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</si>
  <si>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</si>
  <si>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</si>
  <si>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</si>
  <si>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</si>
  <si>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</si>
  <si>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</si>
  <si>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</si>
  <si>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</si>
  <si>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</si>
  <si>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</si>
  <si>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</si>
  <si>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</si>
  <si>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</si>
  <si>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</si>
  <si>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</si>
  <si>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</si>
  <si>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</si>
  <si>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</si>
  <si>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</si>
  <si>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</si>
  <si>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</si>
  <si>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</si>
  <si>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</si>
  <si>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</si>
  <si>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</si>
  <si>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</si>
  <si>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</si>
  <si>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</si>
  <si>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</si>
  <si>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</si>
  <si>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</si>
  <si>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</si>
  <si>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</si>
  <si>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</si>
  <si>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</si>
  <si>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</si>
  <si>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</si>
  <si>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</si>
  <si>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</si>
  <si>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</si>
  <si>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</si>
  <si>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</si>
  <si>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</si>
  <si>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</si>
  <si>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</si>
  <si>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</si>
  <si>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</si>
  <si>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</si>
  <si>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</si>
  <si>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</si>
  <si>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</si>
  <si>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</si>
  <si>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</si>
  <si>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</si>
  <si>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</si>
  <si>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</si>
  <si>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</si>
  <si>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</si>
  <si>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</si>
  <si>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</si>
  <si>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</si>
  <si>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</si>
  <si>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</si>
  <si>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</si>
  <si>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</si>
  <si>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</si>
  <si>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</si>
  <si>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</si>
  <si>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</si>
  <si>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</si>
  <si>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</si>
  <si>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</si>
  <si>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</si>
  <si>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</si>
  <si>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</si>
  <si>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</si>
  <si>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</si>
  <si>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</si>
  <si>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</si>
  <si>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</si>
  <si>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</si>
  <si>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</si>
  <si>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</si>
  <si>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</si>
  <si>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</si>
  <si>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</si>
  <si>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</si>
  <si>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</si>
  <si>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</si>
  <si>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</si>
  <si>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</si>
  <si>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</si>
  <si>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</si>
  <si>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</si>
  <si>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</si>
  <si>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</si>
  <si>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</si>
  <si>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</si>
  <si>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</si>
  <si>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</si>
  <si>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</si>
  <si>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</si>
  <si>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</si>
  <si>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</si>
  <si>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</si>
  <si>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</si>
  <si>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</si>
  <si>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</si>
  <si>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</si>
  <si>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</si>
  <si>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</si>
  <si>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</si>
  <si>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</si>
  <si>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</si>
  <si>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</si>
  <si>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</si>
  <si>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</si>
  <si>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</si>
  <si>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</si>
  <si>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</si>
  <si>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</si>
  <si>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</si>
  <si>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</si>
  <si>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</si>
  <si>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</si>
  <si>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</si>
  <si>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</si>
  <si>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</si>
  <si>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</si>
  <si>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</si>
  <si>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</si>
  <si>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</si>
  <si>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</si>
  <si>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</si>
  <si>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</si>
  <si>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</si>
  <si>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</si>
  <si>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</si>
  <si>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</si>
  <si>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</si>
  <si>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</si>
  <si>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</si>
  <si>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</si>
  <si>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</si>
  <si>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</si>
  <si>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</si>
  <si>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</si>
  <si>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</si>
  <si>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</si>
  <si>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</si>
  <si>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</si>
  <si>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</si>
  <si>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</si>
  <si>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</si>
  <si>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</si>
  <si>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</si>
  <si>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</si>
  <si>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</si>
  <si>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</si>
  <si>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</si>
  <si>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</si>
  <si>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</si>
  <si>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</si>
  <si>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</si>
  <si>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</si>
  <si>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</si>
  <si>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</si>
  <si>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</si>
  <si>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</si>
  <si>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</si>
  <si>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</si>
  <si>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</si>
  <si>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</si>
  <si>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</si>
  <si>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</si>
  <si>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</si>
  <si>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</si>
  <si>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</si>
  <si>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</si>
  <si>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</si>
  <si>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</si>
  <si>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</si>
  <si>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</si>
  <si>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</si>
  <si>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</si>
  <si>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</si>
  <si>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</si>
  <si>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</si>
  <si>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</si>
  <si>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</si>
  <si>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</si>
  <si>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</si>
  <si>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</si>
  <si>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</si>
  <si>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</si>
  <si>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</si>
  <si>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</si>
  <si>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</si>
  <si>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</si>
  <si>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</si>
  <si>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</si>
  <si>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</si>
  <si>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</si>
  <si>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</si>
  <si>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</si>
  <si>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</si>
  <si>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</si>
  <si>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</si>
  <si>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</si>
  <si>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</si>
  <si>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</si>
  <si>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</si>
  <si>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</si>
  <si>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</si>
  <si>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</si>
  <si>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</si>
  <si>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</si>
  <si>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</si>
  <si>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</si>
  <si>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</si>
  <si>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</si>
  <si>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</si>
  <si>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</si>
  <si>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</si>
  <si>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</si>
  <si>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</si>
  <si>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</si>
  <si>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</si>
  <si>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</si>
  <si>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</si>
  <si>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</si>
  <si>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</si>
  <si>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</si>
  <si>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</si>
  <si>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</si>
  <si>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</si>
  <si>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</si>
  <si>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</si>
  <si>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</si>
  <si>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</si>
  <si>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</si>
  <si>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</si>
  <si>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</si>
  <si>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</si>
  <si>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</si>
  <si>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</si>
  <si>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</si>
  <si>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</si>
  <si>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</si>
  <si>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</si>
  <si>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</si>
  <si>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</si>
  <si>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</si>
  <si>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</si>
  <si>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</si>
  <si>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</si>
  <si>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</si>
  <si>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</si>
  <si>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</si>
  <si>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</si>
  <si>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</si>
  <si>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</si>
  <si>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</si>
  <si>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</si>
  <si>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</si>
  <si>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</si>
  <si>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</si>
  <si>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</si>
  <si>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</si>
  <si>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</si>
  <si>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</si>
  <si>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</si>
  <si>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</si>
  <si>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</si>
  <si>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</si>
  <si>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</si>
  <si>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</si>
  <si>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</si>
  <si>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</si>
  <si>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</si>
  <si>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</si>
  <si>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</si>
  <si>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</si>
  <si>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</si>
  <si>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</si>
  <si>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</si>
  <si>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</si>
  <si>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</si>
  <si>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</si>
  <si>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</si>
  <si>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</si>
  <si>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</si>
  <si>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</si>
  <si>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</si>
  <si>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</si>
  <si>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</si>
  <si>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</si>
  <si>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</si>
  <si>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</si>
  <si>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</si>
  <si>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</si>
  <si>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</si>
  <si>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</si>
  <si>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</si>
  <si>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</si>
  <si>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</si>
  <si>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</si>
  <si>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</si>
  <si>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</si>
  <si>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</si>
  <si>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</si>
  <si>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</si>
  <si>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</si>
  <si>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</si>
  <si>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</si>
  <si>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</si>
  <si>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</si>
  <si>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</si>
  <si>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</si>
  <si>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</si>
  <si>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</si>
  <si>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</si>
  <si>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</si>
  <si>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</si>
  <si>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</si>
  <si>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</si>
  <si>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</si>
  <si>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</si>
  <si>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</si>
  <si>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</si>
  <si>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</si>
  <si>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</si>
  <si>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</si>
  <si>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</si>
  <si>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</si>
  <si>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</si>
  <si>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</si>
  <si>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</si>
  <si>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</si>
  <si>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</si>
  <si>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</si>
  <si>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</si>
  <si>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</si>
  <si>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</si>
  <si>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</si>
  <si>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</si>
  <si>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</si>
  <si>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</si>
  <si>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</si>
  <si>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</si>
  <si>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</si>
  <si>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</si>
  <si>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</si>
  <si>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</si>
  <si>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</si>
  <si>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</si>
  <si>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</si>
  <si>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</si>
  <si>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</si>
  <si>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</si>
  <si>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</si>
  <si>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</si>
  <si>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</si>
  <si>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</si>
  <si>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</si>
  <si>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</si>
  <si>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</si>
  <si>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</si>
  <si>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</si>
  <si>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</si>
  <si>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</si>
  <si>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food service audit adj.</t>
  </si>
  <si>
    <t>Wilton-Lyndeborough Cooperative S.D.</t>
  </si>
  <si>
    <t>HB2 NH Retirement Allocation</t>
  </si>
  <si>
    <t>Donations</t>
  </si>
  <si>
    <t>Additional Receivables from State for May and June food service</t>
  </si>
  <si>
    <t>07/99</t>
  </si>
  <si>
    <t>08/19</t>
  </si>
  <si>
    <t>POMS mini grant --Preschool Outcome Measures</t>
  </si>
  <si>
    <t>LCS Capital Project W.A. $720,000 ($189K + $531K aide)</t>
  </si>
  <si>
    <t>audit adjustment fund equity</t>
  </si>
  <si>
    <t>audit adjustment prior year encumbrances</t>
  </si>
  <si>
    <t>NH Retirement Unanticipated</t>
  </si>
  <si>
    <t xml:space="preserve">Ed Jobs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</si>
</sst>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zoomScale="80" zoomScaleNormal="80" workbookViewId="0">
      <pane xSplit="5" ySplit="3" topLeftCell="F347" activePane="bottomRight" state="frozen"/>
      <selection pane="topRight" activeCell="F1" sqref="F1"/>
      <selection pane="bottomLeft" activeCell="A4" sqref="A4"/>
      <selection pane="bottomRight" activeCell="K358" sqref="K358:K3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910</v>
      </c>
      <c r="B2" s="21">
        <v>572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370296.85</v>
      </c>
      <c r="G9" s="18">
        <v>113584.89</v>
      </c>
      <c r="H9" s="18"/>
      <c r="I9" s="18"/>
      <c r="J9" s="67">
        <f>SUM(I438)</f>
        <v>226821.07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113584.89+11501.06+22371.19+11592</f>
        <v>159049.13999999998</v>
      </c>
      <c r="G12" s="18"/>
      <c r="H12" s="18" t="s">
        <v>287</v>
      </c>
      <c r="I12" s="18">
        <v>40125.68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 t="s">
        <v>287</v>
      </c>
      <c r="G13" s="18">
        <f>2250.7+14205.21</f>
        <v>16455.91</v>
      </c>
      <c r="H13" s="18">
        <v>22371.19</v>
      </c>
      <c r="I13" s="18">
        <v>11592</v>
      </c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 t="s">
        <v>287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 t="s">
        <v>287</v>
      </c>
      <c r="G16" s="18"/>
      <c r="H16" s="18"/>
      <c r="I16" s="18" t="s">
        <v>287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529345.99</v>
      </c>
      <c r="G19" s="41">
        <f>SUM(G9:G18)</f>
        <v>130040.8</v>
      </c>
      <c r="H19" s="41">
        <f>SUM(H9:H18)</f>
        <v>22371.19</v>
      </c>
      <c r="I19" s="41">
        <f>SUM(I9:I18)</f>
        <v>51717.68</v>
      </c>
      <c r="J19" s="41">
        <f>SUM(J9:J18)</f>
        <v>226821.07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-40125.95-14102.89-13858.9</f>
        <v>-68087.739999999991</v>
      </c>
      <c r="G22" s="18">
        <f>11501.06+113584.89</f>
        <v>125085.95</v>
      </c>
      <c r="H22" s="18">
        <v>22371.19</v>
      </c>
      <c r="I22" s="18">
        <v>11592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 t="s">
        <v>287</v>
      </c>
      <c r="G23" s="18"/>
      <c r="H23" s="18"/>
      <c r="I23" s="18" t="s">
        <v>287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 t="s">
        <v>287</v>
      </c>
      <c r="G24" s="18"/>
      <c r="H24" s="18" t="s">
        <v>287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2051.0100000000002</v>
      </c>
      <c r="G25" s="145"/>
      <c r="H25" s="18"/>
      <c r="I25" s="18" t="s">
        <v>287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 t="s">
        <v>287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f>16455.91+2357.84</f>
        <v>18813.75</v>
      </c>
      <c r="H30" s="18" t="s">
        <v>287</v>
      </c>
      <c r="I30" s="18" t="s">
        <v>287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-66036.73</v>
      </c>
      <c r="G32" s="41">
        <f>SUM(G22:G31)</f>
        <v>143899.70000000001</v>
      </c>
      <c r="H32" s="41">
        <f>SUM(H22:H31)</f>
        <v>22371.19</v>
      </c>
      <c r="I32" s="41">
        <f>SUM(I22:I31)</f>
        <v>11592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1899.42</v>
      </c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f>-11501.06-905.36-1452.48</f>
        <v>-13858.9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 t="s">
        <v>287</v>
      </c>
      <c r="G43" s="18"/>
      <c r="H43" s="18"/>
      <c r="I43" s="18">
        <v>9268.7900000000009</v>
      </c>
      <c r="J43" s="13">
        <f>SUM(I455)</f>
        <v>226821.07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55000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30856.89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 t="s">
        <v>287</v>
      </c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f>177124.81</f>
        <v>177124.81</v>
      </c>
      <c r="G48" s="18"/>
      <c r="H48" s="18"/>
      <c r="I48" s="18" t="s">
        <v>287</v>
      </c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361358.49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595382.72</v>
      </c>
      <c r="G50" s="41">
        <f>SUM(G35:G49)</f>
        <v>-13858.9</v>
      </c>
      <c r="H50" s="41">
        <f>SUM(H35:H49)</f>
        <v>0</v>
      </c>
      <c r="I50" s="41">
        <f>SUM(I35:I49)</f>
        <v>40125.68</v>
      </c>
      <c r="J50" s="41">
        <f>SUM(J35:J49)</f>
        <v>226821.07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529345.99</v>
      </c>
      <c r="G51" s="41">
        <f>G50+G32</f>
        <v>130040.80000000002</v>
      </c>
      <c r="H51" s="41">
        <f>H50+H32</f>
        <v>22371.19</v>
      </c>
      <c r="I51" s="41">
        <f>I50+I32</f>
        <v>51717.68</v>
      </c>
      <c r="J51" s="41">
        <f>J50+J32</f>
        <v>226821.07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7570185-189000</f>
        <v>7381185</v>
      </c>
      <c r="G56" s="18"/>
      <c r="H56" s="18"/>
      <c r="I56" s="18">
        <f>189000</f>
        <v>189000</v>
      </c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7381185</v>
      </c>
      <c r="G59" s="41">
        <f>SUM(G56:G58)</f>
        <v>0</v>
      </c>
      <c r="H59" s="41">
        <f>SUM(H56:H58)</f>
        <v>0</v>
      </c>
      <c r="I59" s="41">
        <f>SUM(I56:I58)</f>
        <v>189000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3150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13315.82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16465.82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5022.7</v>
      </c>
      <c r="G95" s="18"/>
      <c r="H95" s="18"/>
      <c r="I95" s="18"/>
      <c r="J95" s="18">
        <f>45.29+120.41+12.16</f>
        <v>177.85999999999999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113584.89-905.36-1452.48</f>
        <v>111227.05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50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694.59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 t="s">
        <v>287</v>
      </c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f>40.07+9023.24</f>
        <v>9063.31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161128.46-9023.24</f>
        <v>152105.22</v>
      </c>
      <c r="G109" s="18">
        <v>3200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166935.82</v>
      </c>
      <c r="G110" s="41">
        <f>SUM(G95:G109)</f>
        <v>114427.05</v>
      </c>
      <c r="H110" s="41">
        <f>SUM(H95:H109)</f>
        <v>0</v>
      </c>
      <c r="I110" s="41">
        <f>SUM(I95:I109)</f>
        <v>0</v>
      </c>
      <c r="J110" s="41">
        <f>SUM(J95:J109)</f>
        <v>177.85999999999999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7564586.6400000006</v>
      </c>
      <c r="G111" s="41">
        <f>G59+G110</f>
        <v>114427.05</v>
      </c>
      <c r="H111" s="41">
        <f>H59+H78+H93+H110</f>
        <v>0</v>
      </c>
      <c r="I111" s="41">
        <f>I59+I110</f>
        <v>189000</v>
      </c>
      <c r="J111" s="41">
        <f>J59+J110</f>
        <v>177.85999999999999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1697968.82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1291533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1471.18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7662.98</v>
      </c>
      <c r="G119" s="18"/>
      <c r="H119" s="18" t="s">
        <v>287</v>
      </c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2998635.9800000004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130000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 t="s">
        <v>287</v>
      </c>
      <c r="G123" s="24"/>
      <c r="H123" s="24"/>
      <c r="I123" s="18">
        <f>435030.95+11592</f>
        <v>446622.95</v>
      </c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15525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165109.48000000001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846.87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2392.57+2250.7+14205.21</f>
        <v>18848.48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4200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315681.34999999998</v>
      </c>
      <c r="G135" s="41">
        <f>SUM(G122:G134)</f>
        <v>18848.48</v>
      </c>
      <c r="H135" s="41">
        <f>SUM(H122:H134)</f>
        <v>0</v>
      </c>
      <c r="I135" s="41">
        <f>SUM(I122:I134)</f>
        <v>446622.95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3314317.3300000005</v>
      </c>
      <c r="G139" s="41">
        <f>G120+SUM(G135:G136)</f>
        <v>18848.48</v>
      </c>
      <c r="H139" s="41">
        <f>H120+SUM(H135:H138)</f>
        <v>0</v>
      </c>
      <c r="I139" s="41">
        <f>I120+I135</f>
        <v>446622.95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65047.99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65047.99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16922.27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6602.86+7787.96+82568.32+276.32</f>
        <v>97235.460000000021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9956.86+42179.62-53.48</f>
        <v>52083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69151.350000000006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3072.44+251.47+161928.05+129138.39+2483.48</f>
        <v>296873.82999999996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103369.76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82.04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103369.76</v>
      </c>
      <c r="G161" s="41">
        <f>SUM(G149:G160)</f>
        <v>69151.350000000006</v>
      </c>
      <c r="H161" s="41">
        <f>SUM(H149:H160)</f>
        <v>463196.6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103369.76</v>
      </c>
      <c r="G168" s="41">
        <f>G146+G161+SUM(G162:G167)</f>
        <v>69151.350000000006</v>
      </c>
      <c r="H168" s="41">
        <f>H146+H161+SUM(H162:H167)</f>
        <v>528244.59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19224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73053.2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92277.2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4"/>
      <c r="G189" s="18" t="s">
        <v>287</v>
      </c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92277.2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11074550.93</v>
      </c>
      <c r="G192" s="47">
        <f>G111+G139+G168+G191</f>
        <v>202426.88</v>
      </c>
      <c r="H192" s="47">
        <f>H111+H139+H168+H191</f>
        <v>528244.59</v>
      </c>
      <c r="I192" s="47">
        <f>I111+I139+I168+I191</f>
        <v>635622.94999999995</v>
      </c>
      <c r="J192" s="47">
        <f>J111+J139+J191</f>
        <v>50177.86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1256747.02</v>
      </c>
      <c r="G196" s="18">
        <f>538644.96+131.09+350.26</f>
        <v>539126.30999999994</v>
      </c>
      <c r="H196" s="18">
        <f>3230.32+64800</f>
        <v>68030.320000000007</v>
      </c>
      <c r="I196" s="18">
        <f>52765.09+1077.25</f>
        <v>53842.34</v>
      </c>
      <c r="J196" s="18">
        <f>2108.01+824.94</f>
        <v>2932.9500000000003</v>
      </c>
      <c r="K196" s="18">
        <v>114.85</v>
      </c>
      <c r="L196" s="19">
        <f>SUM(F196:K196)</f>
        <v>1920793.7900000003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494879.19</v>
      </c>
      <c r="G197" s="18">
        <f>132451.34+1837.29</f>
        <v>134288.63</v>
      </c>
      <c r="H197" s="18">
        <f>6928.98+490+4550.1</f>
        <v>11969.08</v>
      </c>
      <c r="I197" s="18">
        <v>4045.21</v>
      </c>
      <c r="J197" s="18">
        <v>1240.5999999999999</v>
      </c>
      <c r="K197" s="18">
        <v>18.059999999999999</v>
      </c>
      <c r="L197" s="19">
        <f>SUM(F197:K197)</f>
        <v>646440.77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>
        <v>278.72000000000003</v>
      </c>
      <c r="H199" s="18"/>
      <c r="I199" s="18"/>
      <c r="J199" s="18"/>
      <c r="K199" s="18">
        <v>5000</v>
      </c>
      <c r="L199" s="19">
        <f>SUM(F199:K199)</f>
        <v>5278.72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123810.4</f>
        <v>123810.4</v>
      </c>
      <c r="G201" s="18">
        <f>42217.4+440.37</f>
        <v>42657.770000000004</v>
      </c>
      <c r="H201" s="18">
        <f>227797.19+602+99+181.24+1966.23+212725.1+24198.84-4550.1</f>
        <v>463019.50000000006</v>
      </c>
      <c r="I201" s="18">
        <f>3075.54+804.46</f>
        <v>3880</v>
      </c>
      <c r="J201" s="18">
        <f>257.98+200</f>
        <v>457.98</v>
      </c>
      <c r="K201" s="18">
        <v>175</v>
      </c>
      <c r="L201" s="19">
        <f t="shared" ref="L201:L207" si="0">SUM(F201:K201)</f>
        <v>634000.65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23875.12+33938</f>
        <v>57813.119999999995</v>
      </c>
      <c r="G202" s="18">
        <f>12849.8+29834.38+713.69</f>
        <v>43397.87</v>
      </c>
      <c r="H202" s="18">
        <f>769+199.6</f>
        <v>968.6</v>
      </c>
      <c r="I202" s="18">
        <v>5821.05</v>
      </c>
      <c r="J202" s="18">
        <v>134.91</v>
      </c>
      <c r="K202" s="18"/>
      <c r="L202" s="19">
        <f t="shared" si="0"/>
        <v>108135.55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2000+68371.01+61850.64</f>
        <v>132221.65</v>
      </c>
      <c r="G203" s="18">
        <f>153.07+28411.54+30984.35+309.29*0.5+87.19</f>
        <v>59790.794999999998</v>
      </c>
      <c r="H203" s="18">
        <f>2502.8+4421.85+5864.52+11072.96+117.71+817.18+7854.51+2418.02+4229.87+((800.8+14.45+1578.15)*0.5)</f>
        <v>40496.119999999995</v>
      </c>
      <c r="I203" s="18">
        <f>96.39+2682.91+446.01+703.01*0.5-202.85*5</f>
        <v>2562.5649999999996</v>
      </c>
      <c r="J203" s="18"/>
      <c r="K203" s="18">
        <f>2233.4+1139.31+62.14+20</f>
        <v>3454.85</v>
      </c>
      <c r="L203" s="19">
        <f t="shared" si="0"/>
        <v>238525.98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217582.38</v>
      </c>
      <c r="G204" s="18">
        <f>64329.8+352.51</f>
        <v>64682.310000000005</v>
      </c>
      <c r="H204" s="18">
        <f>10368.51+10952.46+818.66</f>
        <v>22139.63</v>
      </c>
      <c r="I204" s="18">
        <v>2524.3200000000002</v>
      </c>
      <c r="J204" s="18">
        <v>899.97</v>
      </c>
      <c r="K204" s="18">
        <v>4231.6400000000003</v>
      </c>
      <c r="L204" s="19">
        <f t="shared" si="0"/>
        <v>312060.25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75050.33</v>
      </c>
      <c r="G205" s="18">
        <f>37994.14+187.26</f>
        <v>38181.4</v>
      </c>
      <c r="H205" s="18">
        <f>1237.91+1182.02+1909.37+336</f>
        <v>4665.3</v>
      </c>
      <c r="I205" s="18">
        <f>1917.13+62.16</f>
        <v>1979.2900000000002</v>
      </c>
      <c r="J205" s="18">
        <v>625.87</v>
      </c>
      <c r="K205" s="18">
        <v>15138.53</v>
      </c>
      <c r="L205" s="19">
        <f t="shared" si="0"/>
        <v>135640.72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95540.25</v>
      </c>
      <c r="G206" s="18">
        <f>30857.19+196.65</f>
        <v>31053.84</v>
      </c>
      <c r="H206" s="18">
        <f>2000+171954.22+5353.27+954.03+12332.88+554.32+3853.07</f>
        <v>197001.79</v>
      </c>
      <c r="I206" s="18">
        <f>109715.03+29.75+1439.79</f>
        <v>111184.56999999999</v>
      </c>
      <c r="J206" s="18">
        <f>1547.93+470.9</f>
        <v>2018.83</v>
      </c>
      <c r="K206" s="18"/>
      <c r="L206" s="19">
        <f t="shared" si="0"/>
        <v>436799.28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239940.09+75</f>
        <v>240015.09</v>
      </c>
      <c r="I207" s="18"/>
      <c r="J207" s="18"/>
      <c r="K207" s="18"/>
      <c r="L207" s="19">
        <f t="shared" si="0"/>
        <v>240015.09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48246.48</v>
      </c>
      <c r="G208" s="18">
        <f>18502.47+86.03</f>
        <v>18588.5</v>
      </c>
      <c r="H208" s="18">
        <f>2238.47+201.47</f>
        <v>2439.9399999999996</v>
      </c>
      <c r="I208" s="18">
        <v>7902.44</v>
      </c>
      <c r="J208" s="18">
        <f>3249.92+288.94</f>
        <v>3538.86</v>
      </c>
      <c r="K208" s="18"/>
      <c r="L208" s="19">
        <f>SUM(F208:K208)</f>
        <v>80716.220000000016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2501890.8199999998</v>
      </c>
      <c r="G210" s="41">
        <f t="shared" si="1"/>
        <v>972046.14500000002</v>
      </c>
      <c r="H210" s="41">
        <f t="shared" si="1"/>
        <v>1050745.3700000001</v>
      </c>
      <c r="I210" s="41">
        <f t="shared" si="1"/>
        <v>193741.78499999997</v>
      </c>
      <c r="J210" s="41">
        <f t="shared" si="1"/>
        <v>11849.970000000001</v>
      </c>
      <c r="K210" s="41">
        <f t="shared" si="1"/>
        <v>28132.93</v>
      </c>
      <c r="L210" s="41">
        <f t="shared" si="1"/>
        <v>4758407.0200000005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522511.91</v>
      </c>
      <c r="G214" s="18">
        <f>193443.86+553.02</f>
        <v>193996.87999999998</v>
      </c>
      <c r="H214" s="18">
        <v>7794.76</v>
      </c>
      <c r="I214" s="18">
        <f>49059.57+1237.83</f>
        <v>50297.4</v>
      </c>
      <c r="J214" s="18">
        <f>7427.72+1550.8</f>
        <v>8978.52</v>
      </c>
      <c r="K214" s="18"/>
      <c r="L214" s="19">
        <f>SUM(F214:K214)</f>
        <v>783579.47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111887.3</v>
      </c>
      <c r="G215" s="18">
        <f>33765.62+737.37</f>
        <v>34502.990000000005</v>
      </c>
      <c r="H215" s="18">
        <f>84556.44+175.56+8236.74</f>
        <v>92968.74</v>
      </c>
      <c r="I215" s="18">
        <v>911.1</v>
      </c>
      <c r="J215" s="18">
        <v>438.15</v>
      </c>
      <c r="K215" s="18">
        <v>9174.4</v>
      </c>
      <c r="L215" s="19">
        <f>SUM(F215:K215)</f>
        <v>249882.68000000002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17464.62</v>
      </c>
      <c r="G217" s="18">
        <f>3133.49+370.74</f>
        <v>3504.2299999999996</v>
      </c>
      <c r="H217" s="18">
        <f>183.8+10080+1838+2400</f>
        <v>14501.8</v>
      </c>
      <c r="I217" s="18">
        <v>1804.48</v>
      </c>
      <c r="J217" s="18">
        <f>2050.28+690.46</f>
        <v>2740.7400000000002</v>
      </c>
      <c r="K217" s="18">
        <v>2950.69</v>
      </c>
      <c r="L217" s="19">
        <f>SUM(F217:K217)</f>
        <v>42966.559999999998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100865.6+1814</f>
        <v>102679.6</v>
      </c>
      <c r="G219" s="18">
        <f>46352.6+6366.43*0.4+559.17</f>
        <v>49458.341999999997</v>
      </c>
      <c r="H219" s="18">
        <f>58999.7+57.49</f>
        <v>59057.189999999995</v>
      </c>
      <c r="I219" s="18">
        <f>1988.34+255.19+4.99</f>
        <v>2248.5199999999995</v>
      </c>
      <c r="J219" s="18"/>
      <c r="K219" s="18">
        <v>256</v>
      </c>
      <c r="L219" s="19">
        <f t="shared" ref="L219:L225" si="2">SUM(F219:K219)</f>
        <v>213699.652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7304.4</v>
      </c>
      <c r="G220" s="18">
        <f>13319.17+356.39</f>
        <v>13675.56</v>
      </c>
      <c r="H220" s="18">
        <v>70.58</v>
      </c>
      <c r="I220" s="18">
        <f>2140.19+44.44</f>
        <v>2184.63</v>
      </c>
      <c r="J220" s="18">
        <v>35.82</v>
      </c>
      <c r="K220" s="18"/>
      <c r="L220" s="19">
        <f t="shared" si="2"/>
        <v>23270.99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1000+21688.74+20278.9</f>
        <v>42967.64</v>
      </c>
      <c r="G221" s="18">
        <f>76.51+9012.74+10158.8+309.29*0.2</f>
        <v>19309.907999999999</v>
      </c>
      <c r="H221" s="18">
        <f>5697.3+1681.04+1860.35+3512.58+37.34+259.23+2491.62+792.79+1341.81+61.78+259.22+((800.8+14.45+1578.15)*0.2)</f>
        <v>18473.740000000002</v>
      </c>
      <c r="I221" s="18">
        <f>93.19+851.08+141.48+703.01*0.2-202.85*0.4</f>
        <v>1145.212</v>
      </c>
      <c r="J221" s="18"/>
      <c r="K221" s="18">
        <f>506.89+361.41+19.71</f>
        <v>888.01</v>
      </c>
      <c r="L221" s="19">
        <f t="shared" si="2"/>
        <v>82784.509999999995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116128.71</v>
      </c>
      <c r="G222" s="18">
        <f>31753.85+440.37</f>
        <v>32194.219999999998</v>
      </c>
      <c r="H222" s="18">
        <f>738.17+7908.62+26.38+312.33</f>
        <v>8985.4999999999982</v>
      </c>
      <c r="I222" s="18">
        <f>1656.62+47.4</f>
        <v>1704.02</v>
      </c>
      <c r="J222" s="18">
        <f>697.01+508.8</f>
        <v>1205.81</v>
      </c>
      <c r="K222" s="18">
        <v>2612.0300000000002</v>
      </c>
      <c r="L222" s="19">
        <f t="shared" si="2"/>
        <v>162830.28999999998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23807.56</v>
      </c>
      <c r="G223" s="18">
        <f>12052.55+37.45</f>
        <v>12090</v>
      </c>
      <c r="H223" s="18">
        <f>392.69+374.96+605.69</f>
        <v>1373.3400000000001</v>
      </c>
      <c r="I223" s="18">
        <v>608.15</v>
      </c>
      <c r="J223" s="18">
        <v>198.54</v>
      </c>
      <c r="K223" s="18">
        <v>4802.26</v>
      </c>
      <c r="L223" s="19">
        <f t="shared" si="2"/>
        <v>42879.85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52785.33</v>
      </c>
      <c r="G224" s="18">
        <f>23718.45+245.79</f>
        <v>23964.240000000002</v>
      </c>
      <c r="H224" s="18">
        <f>31557.93+9883+302.64+3912.25+175.84+160+3244.87</f>
        <v>49236.53</v>
      </c>
      <c r="I224" s="18">
        <f>60355.95+9.44+4000</f>
        <v>64365.39</v>
      </c>
      <c r="J224" s="18">
        <v>300</v>
      </c>
      <c r="K224" s="18"/>
      <c r="L224" s="19">
        <f t="shared" si="2"/>
        <v>190651.49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71827.13</v>
      </c>
      <c r="I225" s="18"/>
      <c r="J225" s="18"/>
      <c r="K225" s="18"/>
      <c r="L225" s="19">
        <f t="shared" si="2"/>
        <v>71827.13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22620.67</v>
      </c>
      <c r="G226" s="18">
        <f>9685.13+258.08</f>
        <v>9943.2099999999991</v>
      </c>
      <c r="H226" s="18">
        <v>499.28</v>
      </c>
      <c r="I226" s="18"/>
      <c r="J226" s="18"/>
      <c r="K226" s="18"/>
      <c r="L226" s="19">
        <f>SUM(F226:K226)</f>
        <v>33063.159999999996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1020157.74</v>
      </c>
      <c r="G228" s="41">
        <f>SUM(G214:G227)</f>
        <v>392639.57999999996</v>
      </c>
      <c r="H228" s="41">
        <f>SUM(H214:H227)</f>
        <v>324788.58999999997</v>
      </c>
      <c r="I228" s="41">
        <f>SUM(I214:I227)</f>
        <v>125268.902</v>
      </c>
      <c r="J228" s="41">
        <f>SUM(J214:J227)</f>
        <v>13897.58</v>
      </c>
      <c r="K228" s="41">
        <f t="shared" si="3"/>
        <v>20683.39</v>
      </c>
      <c r="L228" s="41">
        <f t="shared" si="3"/>
        <v>1897435.7819999999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1118095.29</v>
      </c>
      <c r="G232" s="18">
        <f>414453.71+821.36</f>
        <v>415275.07</v>
      </c>
      <c r="H232" s="18">
        <f>1045+11692.79</f>
        <v>12737.79</v>
      </c>
      <c r="I232" s="18">
        <f>50979.36+1856.78</f>
        <v>52836.14</v>
      </c>
      <c r="J232" s="18">
        <f>11161.05+2326.2</f>
        <v>13487.25</v>
      </c>
      <c r="K232" s="18"/>
      <c r="L232" s="19">
        <f>SUM(F232:K232)</f>
        <v>1612431.54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142434.04999999999</v>
      </c>
      <c r="G233" s="18">
        <f>43500.18+1241.25</f>
        <v>44741.43</v>
      </c>
      <c r="H233" s="18">
        <f>503602.72+8723.2</f>
        <v>512325.92</v>
      </c>
      <c r="I233" s="18">
        <v>1800.88</v>
      </c>
      <c r="J233" s="18">
        <v>668.37</v>
      </c>
      <c r="K233" s="18"/>
      <c r="L233" s="19">
        <f>SUM(F233:K233)</f>
        <v>701970.64999999991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5272.65</v>
      </c>
      <c r="I234" s="18"/>
      <c r="J234" s="18"/>
      <c r="K234" s="18"/>
      <c r="L234" s="19">
        <f>SUM(F234:K234)</f>
        <v>5272.65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40916.35</v>
      </c>
      <c r="G235" s="18">
        <f>6312.29+798.83</f>
        <v>7111.12</v>
      </c>
      <c r="H235" s="18">
        <f>275.68+19320+2757+3600</f>
        <v>25952.68</v>
      </c>
      <c r="I235" s="18">
        <v>2706.72</v>
      </c>
      <c r="J235" s="18">
        <f>3075.42+1035.7</f>
        <v>4111.12</v>
      </c>
      <c r="K235" s="18">
        <v>4426.0200000000004</v>
      </c>
      <c r="L235" s="19">
        <f>SUM(F235:K235)</f>
        <v>85224.01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91212.03+2721</f>
        <v>93933.03</v>
      </c>
      <c r="G237" s="18">
        <f>48825.75+6366.43*0.6+1450.18</f>
        <v>54095.788</v>
      </c>
      <c r="H237" s="18">
        <f>57404.49+26567.12+125.82+220.26</f>
        <v>84317.69</v>
      </c>
      <c r="I237" s="18">
        <f>2982.59+558.49+7.5</f>
        <v>3548.58</v>
      </c>
      <c r="J237" s="18"/>
      <c r="K237" s="18">
        <v>384</v>
      </c>
      <c r="L237" s="19">
        <f t="shared" ref="L237:L243" si="4">SUM(F237:K237)</f>
        <v>236279.08799999999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10956.6</v>
      </c>
      <c r="G238" s="18">
        <f>22462.05+897.76</f>
        <v>23359.809999999998</v>
      </c>
      <c r="H238" s="18">
        <v>105.86</v>
      </c>
      <c r="I238" s="18">
        <f>3210.28+66.67</f>
        <v>3276.9500000000003</v>
      </c>
      <c r="J238" s="18">
        <v>53.73</v>
      </c>
      <c r="K238" s="18"/>
      <c r="L238" s="19">
        <f t="shared" si="4"/>
        <v>37752.949999999997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1000+47465.75+30418.35</f>
        <v>78884.100000000006</v>
      </c>
      <c r="G239" s="18">
        <f>76.43+19724.37+15238.21+309.29*0.3</f>
        <v>35131.796999999991</v>
      </c>
      <c r="H239" s="18">
        <f>6681.2+2130.29+4071.37+7687.27+81.72+567.32+5452.9+1189.19+2936.54+135.22+567.3+((800.8+14.45+1578.15)*0.3)</f>
        <v>32218.34</v>
      </c>
      <c r="I239" s="18">
        <f>48.19+1862.58+309.64+703.01*0.3-202.85*0.6</f>
        <v>2309.6029999999996</v>
      </c>
      <c r="J239" s="18"/>
      <c r="K239" s="18">
        <f>675.27+790.95+43.14</f>
        <v>1509.3600000000001</v>
      </c>
      <c r="L239" s="19">
        <f t="shared" si="4"/>
        <v>150053.19999999998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112692.2</v>
      </c>
      <c r="G240" s="18">
        <f>39716.26+2128.12</f>
        <v>41844.380000000005</v>
      </c>
      <c r="H240" s="18">
        <f>988.56+11866.17+43.12+440.5</f>
        <v>13338.35</v>
      </c>
      <c r="I240" s="18">
        <f>2484.91+71.1</f>
        <v>2556.0099999999998</v>
      </c>
      <c r="J240" s="18">
        <f>1045.49+763.2</f>
        <v>1808.69</v>
      </c>
      <c r="K240" s="18">
        <v>4076.96</v>
      </c>
      <c r="L240" s="19">
        <f t="shared" si="4"/>
        <v>176316.59000000003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52102.79</v>
      </c>
      <c r="G241" s="18">
        <f>26376.97+149.81</f>
        <v>26526.780000000002</v>
      </c>
      <c r="H241" s="18">
        <f>859.4+820.6+1325.55</f>
        <v>3005.55</v>
      </c>
      <c r="I241" s="18">
        <v>1330.94</v>
      </c>
      <c r="J241" s="18">
        <v>434.51</v>
      </c>
      <c r="K241" s="18">
        <v>10509.74</v>
      </c>
      <c r="L241" s="19">
        <f t="shared" si="4"/>
        <v>93910.310000000012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78583.03</v>
      </c>
      <c r="G242" s="18">
        <f>35496.23+1494.42</f>
        <v>36990.65</v>
      </c>
      <c r="H242" s="18">
        <f>47328.47+14825+662.33+8561.95+384.83+4569.96</f>
        <v>76332.540000000008</v>
      </c>
      <c r="I242" s="18">
        <f>90527.78+20.65+6000</f>
        <v>96548.43</v>
      </c>
      <c r="J242" s="18">
        <v>450</v>
      </c>
      <c r="K242" s="18"/>
      <c r="L242" s="19">
        <f t="shared" si="4"/>
        <v>288904.65000000002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212777.2</v>
      </c>
      <c r="I243" s="18"/>
      <c r="J243" s="18"/>
      <c r="K243" s="18"/>
      <c r="L243" s="19">
        <f t="shared" si="4"/>
        <v>212777.2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33931.07</v>
      </c>
      <c r="G244" s="18">
        <f>14526.31+2588.2</f>
        <v>17114.509999999998</v>
      </c>
      <c r="H244" s="18">
        <v>748.92</v>
      </c>
      <c r="I244" s="18"/>
      <c r="J244" s="18"/>
      <c r="K244" s="18"/>
      <c r="L244" s="19">
        <f>SUM(F244:K244)</f>
        <v>51794.5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1762528.5100000005</v>
      </c>
      <c r="G246" s="41">
        <f t="shared" si="5"/>
        <v>702191.33500000008</v>
      </c>
      <c r="H246" s="41">
        <f t="shared" si="5"/>
        <v>979133.49000000011</v>
      </c>
      <c r="I246" s="41">
        <f t="shared" si="5"/>
        <v>166914.25299999997</v>
      </c>
      <c r="J246" s="41">
        <f t="shared" si="5"/>
        <v>21013.67</v>
      </c>
      <c r="K246" s="41">
        <f t="shared" si="5"/>
        <v>20906.080000000002</v>
      </c>
      <c r="L246" s="41">
        <f t="shared" si="5"/>
        <v>3652687.338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5284577.07</v>
      </c>
      <c r="G256" s="41">
        <f t="shared" si="8"/>
        <v>2066877.06</v>
      </c>
      <c r="H256" s="41">
        <f t="shared" si="8"/>
        <v>2354667.4500000002</v>
      </c>
      <c r="I256" s="41">
        <f t="shared" si="8"/>
        <v>485924.93999999994</v>
      </c>
      <c r="J256" s="41">
        <f t="shared" si="8"/>
        <v>46761.22</v>
      </c>
      <c r="K256" s="41">
        <f t="shared" si="8"/>
        <v>69722.399999999994</v>
      </c>
      <c r="L256" s="41">
        <f t="shared" si="8"/>
        <v>10308530.140000001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325000</v>
      </c>
      <c r="L259" s="19">
        <f>SUM(F259:K259)</f>
        <v>325000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143981.25</v>
      </c>
      <c r="L260" s="19">
        <f>SUM(F260:K260)</f>
        <v>143981.25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518981.25</v>
      </c>
      <c r="L269" s="41">
        <f t="shared" si="9"/>
        <v>518981.25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5284577.07</v>
      </c>
      <c r="G270" s="42">
        <f t="shared" si="11"/>
        <v>2066877.06</v>
      </c>
      <c r="H270" s="42">
        <f t="shared" si="11"/>
        <v>2354667.4500000002</v>
      </c>
      <c r="I270" s="42">
        <f t="shared" si="11"/>
        <v>485924.93999999994</v>
      </c>
      <c r="J270" s="42">
        <f t="shared" si="11"/>
        <v>46761.22</v>
      </c>
      <c r="K270" s="42">
        <f t="shared" si="11"/>
        <v>588703.65</v>
      </c>
      <c r="L270" s="42">
        <f t="shared" si="11"/>
        <v>10827511.390000001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3508.32+18540.77+700+780.51+1890.74</f>
        <v>25420.34</v>
      </c>
      <c r="G275" s="18">
        <f>390.51+1418.37+53.55+97.65+58.16+139.21+88.19+213.63+65047.99*0.412</f>
        <v>29259.041879999997</v>
      </c>
      <c r="H275" s="18">
        <f>8824.67+35646.52*0.412</f>
        <v>23511.036239999998</v>
      </c>
      <c r="I275" s="18">
        <v>4000</v>
      </c>
      <c r="J275" s="18">
        <v>39329.47</v>
      </c>
      <c r="K275" s="18"/>
      <c r="L275" s="19">
        <f>SUM(F275:K275)</f>
        <v>121519.88812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4800</v>
      </c>
      <c r="G276" s="18">
        <f>353.21+542.4</f>
        <v>895.6099999999999</v>
      </c>
      <c r="H276" s="18">
        <f>82.04+950+6456.1</f>
        <v>7488.14</v>
      </c>
      <c r="I276" s="18">
        <f>-351.03+4090.91+2470.32+120.47+251.47+13971.15+7473.15+1958+3500</f>
        <v>33484.44</v>
      </c>
      <c r="J276" s="18">
        <f>6759.72+32573.65</f>
        <v>39333.370000000003</v>
      </c>
      <c r="K276" s="18"/>
      <c r="L276" s="19">
        <f>SUM(F276:K276)</f>
        <v>86001.56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4059.73</v>
      </c>
      <c r="G278" s="18">
        <f>298.95+11.64</f>
        <v>310.58999999999997</v>
      </c>
      <c r="H278" s="18"/>
      <c r="I278" s="18">
        <v>6396.98</v>
      </c>
      <c r="J278" s="18"/>
      <c r="K278" s="18"/>
      <c r="L278" s="19">
        <f>SUM(F278:K278)</f>
        <v>10767.3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20122</v>
      </c>
      <c r="G280" s="18"/>
      <c r="H280" s="18">
        <f>6008.07+15000+9283.48+19200+20000+355.98+216.67</f>
        <v>70064.2</v>
      </c>
      <c r="I280" s="18">
        <f>510.42+182.23</f>
        <v>692.65</v>
      </c>
      <c r="J280" s="18">
        <f>204.79+602.51</f>
        <v>807.3</v>
      </c>
      <c r="K280" s="18">
        <v>176.67</v>
      </c>
      <c r="L280" s="19">
        <f t="shared" ref="L280:L286" si="12">SUM(F280:K280)</f>
        <v>91862.819999999992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1596.3+37433.88+1520+4000</f>
        <v>44550.18</v>
      </c>
      <c r="G281" s="18">
        <f>112.86+89.75+116.28+2863.74</f>
        <v>3182.6299999999997</v>
      </c>
      <c r="H281" s="18">
        <f>8450.16+5180+495+4755.92+24899.83+109.8+880+1500+3854.1+2310.03+9628.91*0.412</f>
        <v>56401.950920000003</v>
      </c>
      <c r="I281" s="18">
        <f>1067.77+23.65+282.74+665.55+263.86</f>
        <v>2303.5700000000002</v>
      </c>
      <c r="J281" s="18"/>
      <c r="K281" s="18">
        <v>73.5</v>
      </c>
      <c r="L281" s="19">
        <f t="shared" si="12"/>
        <v>106511.83092000001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500</v>
      </c>
      <c r="I282" s="18">
        <f>395.81+101.53+74.26</f>
        <v>571.6</v>
      </c>
      <c r="J282" s="18"/>
      <c r="K282" s="18"/>
      <c r="L282" s="19">
        <f t="shared" si="12"/>
        <v>1071.5999999999999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45.7</v>
      </c>
      <c r="I285" s="18"/>
      <c r="J285" s="18"/>
      <c r="K285" s="18"/>
      <c r="L285" s="19">
        <f t="shared" si="12"/>
        <v>45.7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98952.25</v>
      </c>
      <c r="G289" s="42">
        <f t="shared" si="13"/>
        <v>33647.871879999999</v>
      </c>
      <c r="H289" s="42">
        <f t="shared" si="13"/>
        <v>158011.02716</v>
      </c>
      <c r="I289" s="42">
        <f t="shared" si="13"/>
        <v>47449.24</v>
      </c>
      <c r="J289" s="42">
        <f t="shared" si="13"/>
        <v>79470.14</v>
      </c>
      <c r="K289" s="42">
        <f t="shared" si="13"/>
        <v>250.17</v>
      </c>
      <c r="L289" s="41">
        <f t="shared" si="13"/>
        <v>417780.69904000004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342.07*0.4+2000*0.4</f>
        <v>936.82799999999997</v>
      </c>
      <c r="G294" s="18">
        <f>26.17*0.4+153.01*0.4+38.65*0.4+226.03*0.4+65047.99*0.247</f>
        <v>16244.397529999998</v>
      </c>
      <c r="H294" s="18">
        <f>35646.52*0.247</f>
        <v>8804.6904399999985</v>
      </c>
      <c r="I294" s="18"/>
      <c r="J294" s="18"/>
      <c r="K294" s="18"/>
      <c r="L294" s="19">
        <f>SUM(F294:K294)</f>
        <v>25985.915969999998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>
        <v>5495.11</v>
      </c>
      <c r="K295" s="18"/>
      <c r="L295" s="19">
        <f>SUM(F295:K295)</f>
        <v>5495.11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f>355.99+216.67</f>
        <v>572.66</v>
      </c>
      <c r="I299" s="18"/>
      <c r="J299" s="18"/>
      <c r="K299" s="18">
        <v>176.66</v>
      </c>
      <c r="L299" s="19">
        <f t="shared" ref="L299:L305" si="14">SUM(F299:K299)</f>
        <v>749.31999999999994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f>2850*0.4+4663.07*0.4+9628.91*0.247</f>
        <v>5383.5687699999999</v>
      </c>
      <c r="I300" s="18">
        <f>263.86</f>
        <v>263.86</v>
      </c>
      <c r="J300" s="18"/>
      <c r="K300" s="18"/>
      <c r="L300" s="19">
        <f t="shared" si="14"/>
        <v>5647.4287699999995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936.82799999999997</v>
      </c>
      <c r="G308" s="42">
        <f t="shared" si="15"/>
        <v>16244.397529999998</v>
      </c>
      <c r="H308" s="42">
        <f t="shared" si="15"/>
        <v>14760.919209999998</v>
      </c>
      <c r="I308" s="42">
        <f t="shared" si="15"/>
        <v>263.86</v>
      </c>
      <c r="J308" s="42">
        <f t="shared" si="15"/>
        <v>5495.11</v>
      </c>
      <c r="K308" s="42">
        <f t="shared" si="15"/>
        <v>176.66</v>
      </c>
      <c r="L308" s="41">
        <f t="shared" si="15"/>
        <v>37877.774740000001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342.07*0.6+2000*0.6</f>
        <v>1405.242</v>
      </c>
      <c r="G313" s="18">
        <f>26.17*0.6+153.01*0.6+38.65*0.6+226.03*0.6+65047.99*0.341+0.02</f>
        <v>22447.70059</v>
      </c>
      <c r="H313" s="18">
        <f>35646.52*0.341</f>
        <v>12155.463319999999</v>
      </c>
      <c r="I313" s="18"/>
      <c r="J313" s="18"/>
      <c r="K313" s="18"/>
      <c r="L313" s="19">
        <f>SUM(F313:K313)</f>
        <v>36008.405910000001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>
        <f>3920.88+10990.23</f>
        <v>14911.11</v>
      </c>
      <c r="K314" s="18"/>
      <c r="L314" s="19">
        <f>SUM(F314:K314)</f>
        <v>14911.11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f>5000+5820.38+2041.76+355.98+216.66</f>
        <v>13434.78</v>
      </c>
      <c r="I318" s="18"/>
      <c r="J318" s="18"/>
      <c r="K318" s="18">
        <v>176.67</v>
      </c>
      <c r="L318" s="19">
        <f t="shared" ref="L318:L324" si="16">SUM(F318:K318)</f>
        <v>13611.45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f>2850*0.6+4663.07*0.6+9628.91*0.341</f>
        <v>7791.3003099999996</v>
      </c>
      <c r="I319" s="18">
        <v>263.85000000000002</v>
      </c>
      <c r="J319" s="18"/>
      <c r="K319" s="18"/>
      <c r="L319" s="19">
        <f t="shared" si="16"/>
        <v>8055.15031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1405.242</v>
      </c>
      <c r="G327" s="42">
        <f t="shared" si="17"/>
        <v>22447.70059</v>
      </c>
      <c r="H327" s="42">
        <f t="shared" si="17"/>
        <v>33381.54363</v>
      </c>
      <c r="I327" s="42">
        <f t="shared" si="17"/>
        <v>263.85000000000002</v>
      </c>
      <c r="J327" s="42">
        <f t="shared" si="17"/>
        <v>14911.11</v>
      </c>
      <c r="K327" s="42">
        <f t="shared" si="17"/>
        <v>176.67</v>
      </c>
      <c r="L327" s="41">
        <f t="shared" si="17"/>
        <v>72586.116219999996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101294.31999999999</v>
      </c>
      <c r="G337" s="41">
        <f t="shared" si="20"/>
        <v>72339.97</v>
      </c>
      <c r="H337" s="41">
        <f t="shared" si="20"/>
        <v>206153.49</v>
      </c>
      <c r="I337" s="41">
        <f t="shared" si="20"/>
        <v>47976.95</v>
      </c>
      <c r="J337" s="41">
        <f t="shared" si="20"/>
        <v>99876.36</v>
      </c>
      <c r="K337" s="41">
        <f t="shared" si="20"/>
        <v>603.5</v>
      </c>
      <c r="L337" s="41">
        <f t="shared" si="20"/>
        <v>528244.59000000008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101294.31999999999</v>
      </c>
      <c r="G351" s="41">
        <f>G337</f>
        <v>72339.97</v>
      </c>
      <c r="H351" s="41">
        <f>H337</f>
        <v>206153.49</v>
      </c>
      <c r="I351" s="41">
        <f>I337</f>
        <v>47976.95</v>
      </c>
      <c r="J351" s="41">
        <f>J337</f>
        <v>99876.36</v>
      </c>
      <c r="K351" s="47">
        <f>K337+K350</f>
        <v>603.5</v>
      </c>
      <c r="L351" s="41">
        <f>L337+L350</f>
        <v>528244.59000000008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13905.15+17050.58+28923.07*0.5</f>
        <v>45417.264999999999</v>
      </c>
      <c r="G357" s="18">
        <f>8.5+7135.38*0.5</f>
        <v>3576.19</v>
      </c>
      <c r="H357" s="18">
        <f>580+702.48+932.25+90+1542.16*0.5</f>
        <v>3075.81</v>
      </c>
      <c r="I357" s="18">
        <f>974.32+5.59+376.42+454.06+3676.93+26918.9</f>
        <v>32406.22</v>
      </c>
      <c r="J357" s="18">
        <f>746.74+2224.35+110</f>
        <v>3081.09</v>
      </c>
      <c r="K357" s="18">
        <f>570.75+18.98</f>
        <v>589.73</v>
      </c>
      <c r="L357" s="13">
        <f>SUM(F357:K357)</f>
        <v>88146.304999999993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33835.87*0.3+28923.07*0.2</f>
        <v>15935.375</v>
      </c>
      <c r="G358" s="18">
        <f>26.16+7135.38*0.5*0.3</f>
        <v>1096.4670000000001</v>
      </c>
      <c r="H358" s="4">
        <f>294.2+1394.11</f>
        <v>1688.31</v>
      </c>
      <c r="I358" s="18">
        <f>231.17+1470.77+22562.03</f>
        <v>24263.969999999998</v>
      </c>
      <c r="J358" s="18"/>
      <c r="K358" s="4"/>
      <c r="L358" s="19">
        <f>SUM(F358:K358)</f>
        <v>42984.122000000003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33835.87*0.7+28923.07*0.3</f>
        <v>32362.03</v>
      </c>
      <c r="G359" s="18">
        <f>29.7+7135.38*0.5*0.7</f>
        <v>2527.0829999999996</v>
      </c>
      <c r="H359" s="4">
        <f>634.08+3252.91</f>
        <v>3886.99</v>
      </c>
      <c r="I359" s="4">
        <f>539.39+2206.16+50218.7</f>
        <v>52964.25</v>
      </c>
      <c r="J359" s="18"/>
      <c r="K359" s="18"/>
      <c r="L359" s="19">
        <f>SUM(F359:K359)</f>
        <v>91740.353000000003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93714.67</v>
      </c>
      <c r="G361" s="47">
        <f t="shared" si="22"/>
        <v>7199.74</v>
      </c>
      <c r="H361" s="47">
        <f>SUM(H357:H360)</f>
        <v>8651.11</v>
      </c>
      <c r="I361" s="47">
        <f>SUM(I357:I360)</f>
        <v>109634.44</v>
      </c>
      <c r="J361" s="47">
        <f t="shared" si="22"/>
        <v>3081.09</v>
      </c>
      <c r="K361" s="47">
        <f t="shared" si="22"/>
        <v>589.73</v>
      </c>
      <c r="L361" s="47">
        <f t="shared" si="22"/>
        <v>222870.78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26918.9</v>
      </c>
      <c r="G366" s="18">
        <v>22562.03</v>
      </c>
      <c r="H366" s="18">
        <v>50218.7</v>
      </c>
      <c r="I366" s="56">
        <f>SUM(F366:H366)</f>
        <v>99699.63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5487.32</v>
      </c>
      <c r="G367" s="63">
        <v>1701.94</v>
      </c>
      <c r="H367" s="63">
        <v>2745.55</v>
      </c>
      <c r="I367" s="56">
        <f>SUM(F367:H367)</f>
        <v>9934.8100000000013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32406.22</v>
      </c>
      <c r="G368" s="47">
        <f>SUM(G366:G367)</f>
        <v>24263.969999999998</v>
      </c>
      <c r="H368" s="47">
        <f>SUM(H366:H367)</f>
        <v>52964.25</v>
      </c>
      <c r="I368" s="47">
        <f>SUM(I366:I367)</f>
        <v>109634.44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38000</v>
      </c>
      <c r="I375" s="18"/>
      <c r="J375" s="18"/>
      <c r="K375" s="18"/>
      <c r="L375" s="13">
        <f t="shared" si="23"/>
        <v>38000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f>527401.28+13165.22</f>
        <v>540566.5</v>
      </c>
      <c r="I377" s="18"/>
      <c r="J377" s="18">
        <f>16920.37-199.6</f>
        <v>16720.77</v>
      </c>
      <c r="K377" s="18"/>
      <c r="L377" s="13">
        <f t="shared" si="23"/>
        <v>557287.27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>
        <v>210</v>
      </c>
      <c r="L379" s="13">
        <f t="shared" si="23"/>
        <v>210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578566.5</v>
      </c>
      <c r="I381" s="41">
        <f t="shared" si="24"/>
        <v>0</v>
      </c>
      <c r="J381" s="47">
        <f t="shared" si="24"/>
        <v>16720.77</v>
      </c>
      <c r="K381" s="47">
        <f t="shared" si="24"/>
        <v>210</v>
      </c>
      <c r="L381" s="47">
        <f t="shared" si="24"/>
        <v>595497.27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 t="s">
        <v>287</v>
      </c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v>45.29</v>
      </c>
      <c r="I395" s="18"/>
      <c r="J395" s="24" t="s">
        <v>289</v>
      </c>
      <c r="K395" s="24" t="s">
        <v>289</v>
      </c>
      <c r="L395" s="56">
        <f t="shared" si="26"/>
        <v>50045.29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120.41</v>
      </c>
      <c r="I396" s="18"/>
      <c r="J396" s="24" t="s">
        <v>289</v>
      </c>
      <c r="K396" s="24" t="s">
        <v>289</v>
      </c>
      <c r="L396" s="56">
        <f t="shared" si="26"/>
        <v>120.41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12.16</v>
      </c>
      <c r="I399" s="18"/>
      <c r="J399" s="24" t="s">
        <v>289</v>
      </c>
      <c r="K399" s="24" t="s">
        <v>289</v>
      </c>
      <c r="L399" s="56">
        <f t="shared" si="26"/>
        <v>12.16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177.85999999999999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50177.860000000008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177.85999999999999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50177.860000000008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 t="s">
        <v>287</v>
      </c>
      <c r="I414" s="18"/>
      <c r="J414" s="18"/>
      <c r="K414" s="18">
        <v>19224</v>
      </c>
      <c r="L414" s="56">
        <f t="shared" si="27"/>
        <v>19224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19224</v>
      </c>
      <c r="L418" s="47">
        <f t="shared" si="28"/>
        <v>19224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 t="s">
        <v>287</v>
      </c>
      <c r="G425" s="18" t="s">
        <v>287</v>
      </c>
      <c r="H425" s="18"/>
      <c r="I425" s="18"/>
      <c r="J425" s="18"/>
      <c r="K425" s="18">
        <v>73053.2</v>
      </c>
      <c r="L425" s="56">
        <f t="shared" si="29"/>
        <v>73053.2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73053.2</v>
      </c>
      <c r="L426" s="47">
        <f t="shared" si="30"/>
        <v>73053.2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92277.2</v>
      </c>
      <c r="L433" s="47">
        <f t="shared" si="32"/>
        <v>92277.2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f>65315.01+160997.94+508.12</f>
        <v>226821.07</v>
      </c>
      <c r="G438" s="18">
        <v>0</v>
      </c>
      <c r="H438" s="18"/>
      <c r="I438" s="56">
        <f t="shared" ref="I438:I444" si="33">SUM(F438:H438)</f>
        <v>226821.07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226821.07</v>
      </c>
      <c r="G445" s="13">
        <f>SUM(G438:G444)</f>
        <v>0</v>
      </c>
      <c r="H445" s="13">
        <f>SUM(H438:H444)</f>
        <v>0</v>
      </c>
      <c r="I445" s="13">
        <f>SUM(I438:I444)</f>
        <v>226821.07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226821.07</v>
      </c>
      <c r="G455" s="18"/>
      <c r="H455" s="18"/>
      <c r="I455" s="56">
        <f t="shared" si="34"/>
        <v>226821.07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 t="s">
        <v>287</v>
      </c>
      <c r="G458" s="18">
        <v>0</v>
      </c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226821.07</v>
      </c>
      <c r="G459" s="83">
        <f>SUM(G453:G458)</f>
        <v>0</v>
      </c>
      <c r="H459" s="83">
        <f>SUM(H453:H458)</f>
        <v>0</v>
      </c>
      <c r="I459" s="83">
        <f>SUM(I453:I458)</f>
        <v>226821.07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226821.07</v>
      </c>
      <c r="G460" s="42">
        <f>G451+G459</f>
        <v>0</v>
      </c>
      <c r="H460" s="42">
        <f>H451+H459</f>
        <v>0</v>
      </c>
      <c r="I460" s="42">
        <f>I451+I459</f>
        <v>226821.07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338699.94</v>
      </c>
      <c r="G464" s="18">
        <v>13459.27</v>
      </c>
      <c r="H464" s="18">
        <v>0</v>
      </c>
      <c r="I464" s="18">
        <v>0</v>
      </c>
      <c r="J464" s="18">
        <v>268920.40999999997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11263550.93-189000</f>
        <v>11074550.93</v>
      </c>
      <c r="G467" s="18">
        <f>88846.81-14102.89+113584.89+2250.7+14205.21-905.36-1452.48</f>
        <v>202426.88</v>
      </c>
      <c r="H467" s="18">
        <v>528244.59</v>
      </c>
      <c r="I467" s="18">
        <f>435030.95+11592+148874.32+40125.68</f>
        <v>635622.95000000007</v>
      </c>
      <c r="J467" s="18">
        <f>50000+45.29+120.41+12.16</f>
        <v>50177.860000000008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f>5828.06</f>
        <v>5828.06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11080378.99</v>
      </c>
      <c r="G469" s="53">
        <f>SUM(G467:G468)</f>
        <v>202426.88</v>
      </c>
      <c r="H469" s="53">
        <f>SUM(H467:H468)</f>
        <v>528244.59</v>
      </c>
      <c r="I469" s="53">
        <f>SUM(I467:I468)</f>
        <v>635622.95000000007</v>
      </c>
      <c r="J469" s="53">
        <f>SUM(J467:J468)</f>
        <v>50177.860000000008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10827311.79+199.6</f>
        <v>10827511.389999999</v>
      </c>
      <c r="G471" s="18">
        <v>222870.78</v>
      </c>
      <c r="H471" s="18">
        <v>528244.59</v>
      </c>
      <c r="I471" s="18">
        <f>595696.87-199.6</f>
        <v>595497.27</v>
      </c>
      <c r="J471" s="18">
        <f>19224+73053.2</f>
        <v>92277.2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-3815.18</v>
      </c>
      <c r="G472" s="175">
        <v>6874.27</v>
      </c>
      <c r="H472" s="18" t="s">
        <v>287</v>
      </c>
      <c r="I472" s="18" t="s">
        <v>287</v>
      </c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10823696.209999999</v>
      </c>
      <c r="G473" s="53">
        <f>SUM(G471:G472)</f>
        <v>229745.05</v>
      </c>
      <c r="H473" s="53">
        <f>SUM(H471:H472)</f>
        <v>528244.59</v>
      </c>
      <c r="I473" s="53">
        <f>SUM(I471:I472)</f>
        <v>595497.27</v>
      </c>
      <c r="J473" s="53">
        <f>SUM(J471:J472)</f>
        <v>92277.2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595382.72000000067</v>
      </c>
      <c r="G475" s="53">
        <f>(G464+G469)- G473</f>
        <v>-13858.899999999994</v>
      </c>
      <c r="H475" s="53">
        <f>(H464+H469)- H473</f>
        <v>0</v>
      </c>
      <c r="I475" s="53">
        <f>(I464+I469)- I473</f>
        <v>40125.680000000051</v>
      </c>
      <c r="J475" s="53">
        <f>(J464+J469)- J473</f>
        <v>226821.06999999995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 t="s">
        <v>918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 t="s">
        <v>909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 t="s">
        <v>919</v>
      </c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914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915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6476775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2905000</v>
      </c>
      <c r="G494" s="18"/>
      <c r="H494" s="18"/>
      <c r="I494" s="18"/>
      <c r="J494" s="18"/>
      <c r="K494" s="53">
        <f>SUM(F494:J494)</f>
        <v>2905000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325000</v>
      </c>
      <c r="G496" s="18"/>
      <c r="H496" s="18"/>
      <c r="I496" s="18"/>
      <c r="J496" s="18"/>
      <c r="K496" s="53">
        <f t="shared" si="35"/>
        <v>325000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2580000</v>
      </c>
      <c r="G497" s="205"/>
      <c r="H497" s="205"/>
      <c r="I497" s="205"/>
      <c r="J497" s="205"/>
      <c r="K497" s="206">
        <f t="shared" si="35"/>
        <v>2580000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683681.25-143981.25</f>
        <v>539700</v>
      </c>
      <c r="G498" s="18"/>
      <c r="H498" s="18"/>
      <c r="I498" s="18"/>
      <c r="J498" s="18"/>
      <c r="K498" s="53">
        <f t="shared" si="35"/>
        <v>539700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3119700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3119700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325000</v>
      </c>
      <c r="G500" s="205"/>
      <c r="H500" s="205"/>
      <c r="I500" s="205"/>
      <c r="J500" s="205"/>
      <c r="K500" s="206">
        <f t="shared" si="35"/>
        <v>325000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126919</v>
      </c>
      <c r="G501" s="18"/>
      <c r="H501" s="18"/>
      <c r="I501" s="18"/>
      <c r="J501" s="18"/>
      <c r="K501" s="53">
        <f t="shared" si="35"/>
        <v>126919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451919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451919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494879.19+4800</f>
        <v>499679.19</v>
      </c>
      <c r="G520" s="18">
        <f>132451.34+353.21+542.4+1837.29</f>
        <v>135184.24</v>
      </c>
      <c r="H520" s="18">
        <f>6928.98+490+950+6456.1+4550.1</f>
        <v>19375.18</v>
      </c>
      <c r="I520" s="18">
        <f>4045.21+4000-351.03+4090.91+2470.32+120.47+251.47+13971.15+7473.17+1958+3500+6396.98</f>
        <v>47926.649999999994</v>
      </c>
      <c r="J520" s="18">
        <f>1240.6+39329.47+6759.72+32573.65</f>
        <v>79903.44</v>
      </c>
      <c r="K520" s="18">
        <v>18.059999999999999</v>
      </c>
      <c r="L520" s="88">
        <f>SUM(F520:K520)</f>
        <v>782086.76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111887.3</v>
      </c>
      <c r="G521" s="18">
        <f>33765.62+737.37</f>
        <v>34502.990000000005</v>
      </c>
      <c r="H521" s="18">
        <f>84556.44+175.56+8236.74</f>
        <v>92968.74</v>
      </c>
      <c r="I521" s="18">
        <v>911.1</v>
      </c>
      <c r="J521" s="18">
        <f>438.15+5495.11</f>
        <v>5933.2599999999993</v>
      </c>
      <c r="K521" s="18">
        <v>9174.4</v>
      </c>
      <c r="L521" s="88">
        <f>SUM(F521:K521)</f>
        <v>255377.79000000004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142434.04999999999</v>
      </c>
      <c r="G522" s="18">
        <f>43500.18+1241.25</f>
        <v>44741.43</v>
      </c>
      <c r="H522" s="18">
        <f>503602.72+8723.2</f>
        <v>512325.92</v>
      </c>
      <c r="I522" s="18">
        <v>1800.88</v>
      </c>
      <c r="J522" s="18">
        <f>668.37+3920.88+14911.11</f>
        <v>19500.36</v>
      </c>
      <c r="K522" s="18"/>
      <c r="L522" s="88">
        <f>SUM(F522:K522)</f>
        <v>720802.6399999999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754000.54</v>
      </c>
      <c r="G523" s="108">
        <f t="shared" ref="G523:L523" si="36">SUM(G520:G522)</f>
        <v>214428.65999999997</v>
      </c>
      <c r="H523" s="108">
        <f t="shared" si="36"/>
        <v>624669.84</v>
      </c>
      <c r="I523" s="108">
        <f t="shared" si="36"/>
        <v>50638.62999999999</v>
      </c>
      <c r="J523" s="108">
        <f t="shared" si="36"/>
        <v>105337.06</v>
      </c>
      <c r="K523" s="108">
        <f t="shared" si="36"/>
        <v>9192.4599999999991</v>
      </c>
      <c r="L523" s="89">
        <f t="shared" si="36"/>
        <v>1758267.19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 t="s">
        <v>287</v>
      </c>
      <c r="G525" s="18"/>
      <c r="H525" s="18">
        <f>227797.19-2750-1050-1327.75+15000+9283.48+19200+20000+5180+495+4755.92+24899.83+109.8+1966.23+212725.1+24198.84-4550.1</f>
        <v>555933.54</v>
      </c>
      <c r="I525" s="18">
        <f>510.42+182.23+665.55</f>
        <v>1358.1999999999998</v>
      </c>
      <c r="J525" s="18">
        <f>204.79+602.51</f>
        <v>807.3</v>
      </c>
      <c r="K525" s="18"/>
      <c r="L525" s="88">
        <f>SUM(F525:K525)</f>
        <v>558099.04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f>58999.7-1815.4+220.26</f>
        <v>57404.56</v>
      </c>
      <c r="I526" s="18"/>
      <c r="J526" s="18"/>
      <c r="K526" s="18"/>
      <c r="L526" s="88">
        <f>SUM(F526:K526)</f>
        <v>57404.56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57404.49-2723.1+5000+5820.38+2041.76</f>
        <v>67543.53</v>
      </c>
      <c r="I527" s="18"/>
      <c r="J527" s="18"/>
      <c r="K527" s="18"/>
      <c r="L527" s="88">
        <f>SUM(F527:K527)</f>
        <v>67543.53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680881.63000000012</v>
      </c>
      <c r="I528" s="89">
        <f t="shared" si="37"/>
        <v>1358.1999999999998</v>
      </c>
      <c r="J528" s="89">
        <f t="shared" si="37"/>
        <v>807.3</v>
      </c>
      <c r="K528" s="89">
        <f t="shared" si="37"/>
        <v>0</v>
      </c>
      <c r="L528" s="89">
        <f t="shared" si="37"/>
        <v>683047.13000000012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33938+61850.64+20122</f>
        <v>115910.64</v>
      </c>
      <c r="G530" s="18">
        <f>215.13+30984.35</f>
        <v>31199.48</v>
      </c>
      <c r="H530" s="18">
        <f>355.98+216.67+500+194.77+817.15+4229.87</f>
        <v>6314.4400000000005</v>
      </c>
      <c r="I530" s="18">
        <v>446.01</v>
      </c>
      <c r="J530" s="18"/>
      <c r="K530" s="18">
        <f>176.67+20+62.14</f>
        <v>258.81</v>
      </c>
      <c r="L530" s="88">
        <f>SUM(F530:K530)</f>
        <v>154129.38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1814+20278.9</f>
        <v>22092.9</v>
      </c>
      <c r="G531" s="18">
        <f>43.03+10158.8</f>
        <v>10201.83</v>
      </c>
      <c r="H531" s="18">
        <f>355.99+216.67+61.78+259.22+1341.81</f>
        <v>2235.4699999999998</v>
      </c>
      <c r="I531" s="18">
        <v>141.47999999999999</v>
      </c>
      <c r="J531" s="18"/>
      <c r="K531" s="18">
        <f>176.66+19.71</f>
        <v>196.37</v>
      </c>
      <c r="L531" s="88">
        <f>SUM(F531:K531)</f>
        <v>34868.05000000001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2721+30418.35</f>
        <v>33139.35</v>
      </c>
      <c r="G532" s="18">
        <f>172.09+15238.21</f>
        <v>15410.3</v>
      </c>
      <c r="H532" s="18">
        <f>355.98+216.66+135.22+567.3+2936.54</f>
        <v>4211.7</v>
      </c>
      <c r="I532" s="18">
        <v>309.64</v>
      </c>
      <c r="J532" s="18"/>
      <c r="K532" s="18">
        <f>176.67+43.14</f>
        <v>219.81</v>
      </c>
      <c r="L532" s="88">
        <f>SUM(F532:K532)</f>
        <v>53290.799999999988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171142.89</v>
      </c>
      <c r="G533" s="89">
        <f t="shared" ref="G533:L533" si="38">SUM(G530:G532)</f>
        <v>56811.61</v>
      </c>
      <c r="H533" s="89">
        <f t="shared" si="38"/>
        <v>12761.61</v>
      </c>
      <c r="I533" s="89">
        <f t="shared" si="38"/>
        <v>897.13</v>
      </c>
      <c r="J533" s="89">
        <f t="shared" si="38"/>
        <v>0</v>
      </c>
      <c r="K533" s="89">
        <f t="shared" si="38"/>
        <v>674.99</v>
      </c>
      <c r="L533" s="89">
        <f t="shared" si="38"/>
        <v>242288.23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2418.02+792.79+1189.19+478.82</f>
        <v>4878.82</v>
      </c>
      <c r="I535" s="18"/>
      <c r="J535" s="18"/>
      <c r="K535" s="18"/>
      <c r="L535" s="88">
        <f>SUM(F535:K535)</f>
        <v>4878.82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693.22</v>
      </c>
      <c r="I536" s="18"/>
      <c r="J536" s="18"/>
      <c r="K536" s="18"/>
      <c r="L536" s="88">
        <f>SUM(F536:K536)</f>
        <v>693.22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-426.91</v>
      </c>
      <c r="I537" s="18"/>
      <c r="J537" s="18"/>
      <c r="K537" s="18"/>
      <c r="L537" s="88">
        <f>SUM(F537:K537)</f>
        <v>-426.91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5145.13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5145.13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15753.38+16223.62</f>
        <v>31977</v>
      </c>
      <c r="I540" s="18"/>
      <c r="J540" s="18"/>
      <c r="K540" s="18"/>
      <c r="L540" s="88">
        <f>SUM(F540:K540)</f>
        <v>31977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49761.35</v>
      </c>
      <c r="I541" s="18"/>
      <c r="J541" s="18"/>
      <c r="K541" s="18"/>
      <c r="L541" s="88">
        <f>SUM(F541:K541)</f>
        <v>49761.35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158998.53</v>
      </c>
      <c r="I542" s="18"/>
      <c r="J542" s="18"/>
      <c r="K542" s="18"/>
      <c r="L542" s="88">
        <f>SUM(F542:K542)</f>
        <v>158998.53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240736.88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240736.88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925143.43</v>
      </c>
      <c r="G544" s="89">
        <f t="shared" ref="G544:L544" si="41">G523+G528+G533+G538+G543</f>
        <v>271240.26999999996</v>
      </c>
      <c r="H544" s="89">
        <f t="shared" si="41"/>
        <v>1564195.0900000003</v>
      </c>
      <c r="I544" s="89">
        <f t="shared" si="41"/>
        <v>52893.959999999985</v>
      </c>
      <c r="J544" s="89">
        <f t="shared" si="41"/>
        <v>106144.36</v>
      </c>
      <c r="K544" s="89">
        <f t="shared" si="41"/>
        <v>9867.4499999999989</v>
      </c>
      <c r="L544" s="89">
        <f t="shared" si="41"/>
        <v>2929484.56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782086.76</v>
      </c>
      <c r="G548" s="87">
        <f>L525</f>
        <v>558099.04</v>
      </c>
      <c r="H548" s="87">
        <f>L530</f>
        <v>154129.38</v>
      </c>
      <c r="I548" s="87">
        <f>L535</f>
        <v>4878.82</v>
      </c>
      <c r="J548" s="87">
        <f>L540</f>
        <v>31977</v>
      </c>
      <c r="K548" s="87">
        <f>SUM(F548:J548)</f>
        <v>1531171.0000000002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255377.79000000004</v>
      </c>
      <c r="G549" s="87">
        <f>L526</f>
        <v>57404.56</v>
      </c>
      <c r="H549" s="87">
        <f>L531</f>
        <v>34868.05000000001</v>
      </c>
      <c r="I549" s="87">
        <f>L536</f>
        <v>693.22</v>
      </c>
      <c r="J549" s="87">
        <f>L541</f>
        <v>49761.35</v>
      </c>
      <c r="K549" s="87">
        <f>SUM(F549:J549)</f>
        <v>398104.97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720802.6399999999</v>
      </c>
      <c r="G550" s="87">
        <f>L527</f>
        <v>67543.53</v>
      </c>
      <c r="H550" s="87">
        <f>L532</f>
        <v>53290.799999999988</v>
      </c>
      <c r="I550" s="87">
        <f>L537</f>
        <v>-426.91</v>
      </c>
      <c r="J550" s="87">
        <f>L542</f>
        <v>158998.53</v>
      </c>
      <c r="K550" s="87">
        <f>SUM(F550:J550)</f>
        <v>1000208.59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1758267.19</v>
      </c>
      <c r="G551" s="89">
        <f t="shared" si="42"/>
        <v>683047.13000000012</v>
      </c>
      <c r="H551" s="89">
        <f t="shared" si="42"/>
        <v>242288.23</v>
      </c>
      <c r="I551" s="89">
        <f t="shared" si="42"/>
        <v>5145.13</v>
      </c>
      <c r="J551" s="89">
        <f t="shared" si="42"/>
        <v>240736.88</v>
      </c>
      <c r="K551" s="89">
        <f t="shared" si="42"/>
        <v>2929484.56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64800</v>
      </c>
      <c r="G577" s="18"/>
      <c r="H577" s="18"/>
      <c r="I577" s="87">
        <f t="shared" si="47"/>
        <v>64800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>
        <v>8376.84</v>
      </c>
      <c r="H578" s="18">
        <v>65679.179999999993</v>
      </c>
      <c r="I578" s="87">
        <f t="shared" si="47"/>
        <v>74056.01999999999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4550.1000000000004</v>
      </c>
      <c r="G581" s="18">
        <f>76179.6+8236.74</f>
        <v>84416.340000000011</v>
      </c>
      <c r="H581" s="18">
        <f>437923.54+8723.2</f>
        <v>446646.74</v>
      </c>
      <c r="I581" s="87">
        <f t="shared" si="47"/>
        <v>535613.18000000005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5272.65</v>
      </c>
      <c r="I583" s="87">
        <f t="shared" si="47"/>
        <v>5272.65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110613.38+90620.21</f>
        <v>201233.59000000003</v>
      </c>
      <c r="I590" s="18"/>
      <c r="J590" s="18"/>
      <c r="K590" s="104">
        <f t="shared" ref="K590:K596" si="48">SUM(H590:J590)</f>
        <v>201233.59000000003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15753.38+16223.62</f>
        <v>31977</v>
      </c>
      <c r="I591" s="18">
        <v>49761.35</v>
      </c>
      <c r="J591" s="18">
        <v>158998.53</v>
      </c>
      <c r="K591" s="104">
        <f t="shared" si="48"/>
        <v>240736.88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20680</v>
      </c>
      <c r="K592" s="104">
        <f t="shared" si="48"/>
        <v>20680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19844.080000000002</v>
      </c>
      <c r="J593" s="18">
        <v>29766.12</v>
      </c>
      <c r="K593" s="104">
        <f t="shared" si="48"/>
        <v>49610.2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3818.5+2911+75</f>
        <v>6804.5</v>
      </c>
      <c r="I594" s="18">
        <v>2221.6999999999998</v>
      </c>
      <c r="J594" s="18">
        <v>3332.55</v>
      </c>
      <c r="K594" s="104">
        <f t="shared" si="48"/>
        <v>12358.75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240015.09000000003</v>
      </c>
      <c r="I597" s="108">
        <f>SUM(I590:I596)</f>
        <v>71827.12999999999</v>
      </c>
      <c r="J597" s="108">
        <f>SUM(J590:J596)</f>
        <v>212777.19999999998</v>
      </c>
      <c r="K597" s="108">
        <f>SUM(K590:K596)</f>
        <v>524619.42000000004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2108.01+1240.6+257.98+134.91+1547.93+3249.92+200+625.87+79470.14+824.94+899.97+470.9+288.94</f>
        <v>91320.11</v>
      </c>
      <c r="I603" s="18">
        <f>7427.72+438.15+2050.28+35.82+697.01+300+198.54+5495.11+1550.8+690.46+508.8</f>
        <v>19392.689999999999</v>
      </c>
      <c r="J603" s="18">
        <f>11161.05+668.37+3075.42+53.73+1045.49+450+434.51+14911.11+2326.2+1035.7+763.2</f>
        <v>35924.779999999992</v>
      </c>
      <c r="K603" s="104">
        <f>SUM(H603:J603)</f>
        <v>146637.57999999999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91320.11</v>
      </c>
      <c r="I604" s="108">
        <f>SUM(I601:I603)</f>
        <v>19392.689999999999</v>
      </c>
      <c r="J604" s="108">
        <f>SUM(J601:J603)</f>
        <v>35924.779999999992</v>
      </c>
      <c r="K604" s="108">
        <f>SUM(K601:K603)</f>
        <v>146637.57999999999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18425.12+2834.63</f>
        <v>21259.75</v>
      </c>
      <c r="G610" s="18">
        <f>1345.44+152.63+81.5+8.97+254.75+100.69+33+11</f>
        <v>1987.9800000000002</v>
      </c>
      <c r="H610" s="18">
        <f>6577.56+66.44</f>
        <v>6644</v>
      </c>
      <c r="I610" s="18"/>
      <c r="J610" s="18"/>
      <c r="K610" s="18"/>
      <c r="L610" s="88">
        <f>SUM(F610:K610)</f>
        <v>29891.73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838.84</v>
      </c>
      <c r="G611" s="18">
        <f>212.65+7.5</f>
        <v>220.15</v>
      </c>
      <c r="H611" s="18"/>
      <c r="I611" s="18"/>
      <c r="J611" s="18"/>
      <c r="K611" s="18"/>
      <c r="L611" s="88">
        <f>SUM(F611:K611)</f>
        <v>1058.99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838.84</v>
      </c>
      <c r="G612" s="18">
        <f>313.83+6</f>
        <v>319.83</v>
      </c>
      <c r="H612" s="18"/>
      <c r="I612" s="18"/>
      <c r="J612" s="18"/>
      <c r="K612" s="18"/>
      <c r="L612" s="88">
        <f>SUM(F612:K612)</f>
        <v>1158.67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22937.43</v>
      </c>
      <c r="G613" s="108">
        <f t="shared" si="49"/>
        <v>2527.96</v>
      </c>
      <c r="H613" s="108">
        <f t="shared" si="49"/>
        <v>6644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32109.39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529345.99</v>
      </c>
      <c r="H616" s="109">
        <f>SUM(F51)</f>
        <v>529345.99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130040.8</v>
      </c>
      <c r="H617" s="109">
        <f>SUM(G51)</f>
        <v>130040.80000000002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22371.19</v>
      </c>
      <c r="H618" s="109">
        <f>SUM(H51)</f>
        <v>22371.19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51717.68</v>
      </c>
      <c r="H619" s="109">
        <f>SUM(I51)</f>
        <v>51717.68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226821.07</v>
      </c>
      <c r="H620" s="109">
        <f>SUM(J51)</f>
        <v>226821.07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595382.72</v>
      </c>
      <c r="H621" s="109">
        <f>F475</f>
        <v>595382.72000000067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-13858.9</v>
      </c>
      <c r="H622" s="109">
        <f>G475</f>
        <v>-13858.899999999994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40125.68</v>
      </c>
      <c r="H624" s="109">
        <f>I475</f>
        <v>40125.680000000051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226821.07</v>
      </c>
      <c r="H625" s="109">
        <f>J475</f>
        <v>226821.06999999995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11074550.93</v>
      </c>
      <c r="H626" s="104">
        <f>SUM(F467)</f>
        <v>11074550.93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202426.88</v>
      </c>
      <c r="H627" s="104">
        <f>SUM(G467)</f>
        <v>202426.88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528244.59</v>
      </c>
      <c r="H628" s="104">
        <f>SUM(H467)</f>
        <v>528244.59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635622.94999999995</v>
      </c>
      <c r="H629" s="104">
        <f>SUM(I467)</f>
        <v>635622.95000000007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50177.86</v>
      </c>
      <c r="H630" s="104">
        <f>SUM(J467)</f>
        <v>50177.860000000008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10827511.390000001</v>
      </c>
      <c r="H631" s="104">
        <f>SUM(F471)</f>
        <v>10827511.389999999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528244.59000000008</v>
      </c>
      <c r="H632" s="104">
        <f>SUM(H471)</f>
        <v>528244.59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109634.44</v>
      </c>
      <c r="H633" s="104">
        <f>I368</f>
        <v>109634.44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222870.78</v>
      </c>
      <c r="H634" s="104">
        <f>SUM(G471)</f>
        <v>222870.78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595497.27</v>
      </c>
      <c r="H635" s="104">
        <f>SUM(I471)</f>
        <v>595497.27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50177.860000000008</v>
      </c>
      <c r="H636" s="164">
        <f>SUM(J467)</f>
        <v>50177.860000000008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92277.2</v>
      </c>
      <c r="H637" s="164">
        <f>SUM(J471)</f>
        <v>92277.2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226821.07</v>
      </c>
      <c r="H638" s="104">
        <f>SUM(F460)</f>
        <v>226821.07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226821.07</v>
      </c>
      <c r="H641" s="104">
        <f>SUM(I460)</f>
        <v>226821.07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177.85999999999999</v>
      </c>
      <c r="H643" s="104">
        <f>H407</f>
        <v>177.85999999999999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50177.86</v>
      </c>
      <c r="H645" s="104">
        <f>L407</f>
        <v>50177.860000000008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524619.42000000004</v>
      </c>
      <c r="H646" s="104">
        <f>L207+L225+L243</f>
        <v>524619.41999999993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146637.57999999999</v>
      </c>
      <c r="H647" s="104">
        <f>(J256+J337)-(J254+J335)</f>
        <v>146637.58000000002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240015.09</v>
      </c>
      <c r="H648" s="104">
        <f>H597</f>
        <v>240015.09000000003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71827.13</v>
      </c>
      <c r="H649" s="104">
        <f>I597</f>
        <v>71827.12999999999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212777.2</v>
      </c>
      <c r="H650" s="104">
        <f>J597</f>
        <v>212777.19999999998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5264334.0240400005</v>
      </c>
      <c r="G659" s="19">
        <f>(L228+L308+L358)</f>
        <v>1978297.6787399999</v>
      </c>
      <c r="H659" s="19">
        <f>(L246+L327+L359)</f>
        <v>3817013.8072200003</v>
      </c>
      <c r="I659" s="19">
        <f>SUM(F659:H659)</f>
        <v>11059645.510000002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45256.366265466699</v>
      </c>
      <c r="G660" s="19">
        <f>(L358/IF(SUM(L357:L359)=0,1,SUM(L357:L359))*(SUM(G96:G109)))</f>
        <v>22069.049506176179</v>
      </c>
      <c r="H660" s="19">
        <f>(L359/IF(SUM(L357:L359)=0,1,SUM(L357:L359))*(SUM(G96:G109)))</f>
        <v>47101.634228357121</v>
      </c>
      <c r="I660" s="19">
        <f>SUM(F660:H660)</f>
        <v>114427.04999999999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240015.09</v>
      </c>
      <c r="G661" s="19">
        <f>(L225+L305)-(J225+J305)</f>
        <v>71827.13</v>
      </c>
      <c r="H661" s="19">
        <f>(L243+L324)-(J243+J324)</f>
        <v>212777.2</v>
      </c>
      <c r="I661" s="19">
        <f>SUM(F661:H661)</f>
        <v>524619.41999999993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190561.94000000003</v>
      </c>
      <c r="G662" s="200">
        <f>SUM(G574:G586)+SUM(I601:I603)+L611</f>
        <v>113244.86000000002</v>
      </c>
      <c r="H662" s="200">
        <f>SUM(H574:H586)+SUM(J601:J603)+L612</f>
        <v>554682.02</v>
      </c>
      <c r="I662" s="19">
        <f>SUM(F662:H662)</f>
        <v>858488.82000000007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4788500.6277745338</v>
      </c>
      <c r="G663" s="19">
        <f>G659-SUM(G660:G662)</f>
        <v>1771156.6392338236</v>
      </c>
      <c r="H663" s="19">
        <f>H659-SUM(H660:H662)</f>
        <v>3002452.952991643</v>
      </c>
      <c r="I663" s="19">
        <f>I659-SUM(I660:I662)</f>
        <v>9562110.2200000025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308.64999999999998</v>
      </c>
      <c r="G664" s="249">
        <v>97.72</v>
      </c>
      <c r="H664" s="249">
        <v>213.86</v>
      </c>
      <c r="I664" s="19">
        <f>SUM(F664:H664)</f>
        <v>620.23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15514.34</v>
      </c>
      <c r="G666" s="19">
        <f>ROUND(G663/G664,2)</f>
        <v>18124.810000000001</v>
      </c>
      <c r="H666" s="19">
        <f>ROUND(H663/H664,2)</f>
        <v>14039.34</v>
      </c>
      <c r="I666" s="19">
        <f>ROUND(I663/I664,2)</f>
        <v>15417.04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 t="s">
        <v>287</v>
      </c>
      <c r="H668" s="18" t="s">
        <v>287</v>
      </c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</v>
      </c>
      <c r="I669" s="19">
        <f>SUM(F669:H669)</f>
        <v>-2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15514.34</v>
      </c>
      <c r="G671" s="19">
        <f>ROUND((G663+G668)/(G664+G669),2)</f>
        <v>18124.810000000001</v>
      </c>
      <c r="H671" s="19">
        <f>ROUND((H663+H668)/(H664+H669),2)</f>
        <v>14171.87</v>
      </c>
      <c r="I671" s="19">
        <f>ROUND((I663+I668)/(I664+I669),2)</f>
        <v>15466.91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Wilton-Lyndeborough Cooperative S.D.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2925116.63</v>
      </c>
      <c r="C9" s="230">
        <f>'DOE25'!G196+'DOE25'!G214+'DOE25'!G232+'DOE25'!G275+'DOE25'!G294+'DOE25'!G313</f>
        <v>1216349.3999999999</v>
      </c>
    </row>
    <row r="10" spans="1:3" x14ac:dyDescent="0.2">
      <c r="A10" t="s">
        <v>779</v>
      </c>
      <c r="B10" s="241">
        <f>2754077.33+75079.06+700+3890.74+1122.58</f>
        <v>2834869.7100000004</v>
      </c>
      <c r="C10" s="241">
        <f>1128561.83+7251.92+53.55+84.33+292.22+664.15+65047.99+1132.71</f>
        <v>1203088.7</v>
      </c>
    </row>
    <row r="11" spans="1:3" x14ac:dyDescent="0.2">
      <c r="A11" t="s">
        <v>780</v>
      </c>
      <c r="B11" s="241">
        <f>68197.83+18540.77+3508.32</f>
        <v>90246.920000000013</v>
      </c>
      <c r="C11" s="241">
        <f>10520.53+208.25+1418.37+390.51+32.77+86.03+51.21+92.17+184.34+276.52</f>
        <v>13260.700000000003</v>
      </c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2925116.6300000004</v>
      </c>
      <c r="C13" s="232">
        <f>SUM(C10:C12)</f>
        <v>1216349.3999999999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754000.54</v>
      </c>
      <c r="C18" s="230">
        <f>'DOE25'!G197+'DOE25'!G215+'DOE25'!G233+'DOE25'!G276+'DOE25'!G295+'DOE25'!G314</f>
        <v>214428.65999999997</v>
      </c>
    </row>
    <row r="19" spans="1:3" x14ac:dyDescent="0.2">
      <c r="A19" t="s">
        <v>779</v>
      </c>
      <c r="B19" s="241">
        <f>383217.97+2512.5+4800</f>
        <v>390530.47</v>
      </c>
      <c r="C19" s="241">
        <f>157045.14+215.82+353.21+542.4+1947.9+1241.25</f>
        <v>161345.72</v>
      </c>
    </row>
    <row r="20" spans="1:3" x14ac:dyDescent="0.2">
      <c r="A20" t="s">
        <v>780</v>
      </c>
      <c r="B20" s="241">
        <f>340532.64+22937.43</f>
        <v>363470.07</v>
      </c>
      <c r="C20" s="241">
        <f>49928.22+2527.96+55.3+92.17+184.34+294.95</f>
        <v>53082.939999999995</v>
      </c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754000.54</v>
      </c>
      <c r="C22" s="232">
        <f>SUM(C19:C21)</f>
        <v>214428.66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62440.700000000004</v>
      </c>
      <c r="C36" s="236">
        <f>'DOE25'!G199+'DOE25'!G217+'DOE25'!G235+'DOE25'!G278+'DOE25'!G297+'DOE25'!G316</f>
        <v>11204.66</v>
      </c>
    </row>
    <row r="37" spans="1:3" x14ac:dyDescent="0.2">
      <c r="A37" t="s">
        <v>779</v>
      </c>
      <c r="B37" s="241">
        <f>4395.42+12195.25+5904+8856+1271.2+1409.1+884</f>
        <v>34914.97</v>
      </c>
      <c r="C37" s="241">
        <f>3529.31+5569.63</f>
        <v>9098.94</v>
      </c>
    </row>
    <row r="38" spans="1:3" x14ac:dyDescent="0.2">
      <c r="A38" t="s">
        <v>780</v>
      </c>
      <c r="B38" s="241">
        <v>4059.73</v>
      </c>
      <c r="C38" s="241">
        <v>310.57</v>
      </c>
    </row>
    <row r="39" spans="1:3" x14ac:dyDescent="0.2">
      <c r="A39" t="s">
        <v>781</v>
      </c>
      <c r="B39" s="241">
        <f>5894+17572</f>
        <v>23466</v>
      </c>
      <c r="C39" s="241">
        <v>1795.15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62440.700000000004</v>
      </c>
      <c r="C40" s="232">
        <f>SUM(C37:C39)</f>
        <v>11204.66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pane="bottomLeft" activeCell="G29" sqref="G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Wilton-Lyndeborough Cooperative S.D.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6053840.8399999999</v>
      </c>
      <c r="D5" s="20">
        <f>SUM('DOE25'!L196:L199)+SUM('DOE25'!L214:L217)+SUM('DOE25'!L232:L235)-F5-G5</f>
        <v>5997559.1200000001</v>
      </c>
      <c r="E5" s="244"/>
      <c r="F5" s="256">
        <f>SUM('DOE25'!J196:J199)+SUM('DOE25'!J214:J217)+SUM('DOE25'!J232:J235)</f>
        <v>34597.699999999997</v>
      </c>
      <c r="G5" s="53">
        <f>SUM('DOE25'!K196:K199)+SUM('DOE25'!K214:K217)+SUM('DOE25'!K232:K235)</f>
        <v>21684.02</v>
      </c>
      <c r="H5" s="260"/>
    </row>
    <row r="6" spans="1:9" x14ac:dyDescent="0.2">
      <c r="A6" s="32">
        <v>2100</v>
      </c>
      <c r="B6" t="s">
        <v>801</v>
      </c>
      <c r="C6" s="246">
        <f t="shared" si="0"/>
        <v>1083979.3900000001</v>
      </c>
      <c r="D6" s="20">
        <f>'DOE25'!L201+'DOE25'!L219+'DOE25'!L237-F6-G6</f>
        <v>1082706.4100000001</v>
      </c>
      <c r="E6" s="244"/>
      <c r="F6" s="256">
        <f>'DOE25'!J201+'DOE25'!J219+'DOE25'!J237</f>
        <v>457.98</v>
      </c>
      <c r="G6" s="53">
        <f>'DOE25'!K201+'DOE25'!K219+'DOE25'!K237</f>
        <v>815</v>
      </c>
      <c r="H6" s="260"/>
    </row>
    <row r="7" spans="1:9" x14ac:dyDescent="0.2">
      <c r="A7" s="32">
        <v>2200</v>
      </c>
      <c r="B7" t="s">
        <v>834</v>
      </c>
      <c r="C7" s="246">
        <f t="shared" si="0"/>
        <v>169159.49</v>
      </c>
      <c r="D7" s="20">
        <f>'DOE25'!L202+'DOE25'!L220+'DOE25'!L238-F7-G7</f>
        <v>168935.03</v>
      </c>
      <c r="E7" s="244"/>
      <c r="F7" s="256">
        <f>'DOE25'!J202+'DOE25'!J220+'DOE25'!J238</f>
        <v>224.45999999999998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471363.68999999994</v>
      </c>
      <c r="D8" s="244"/>
      <c r="E8" s="20">
        <f>'DOE25'!L203+'DOE25'!L221+'DOE25'!L239-F8-G8-D9-D11</f>
        <v>465511.47</v>
      </c>
      <c r="F8" s="256">
        <f>'DOE25'!J203+'DOE25'!J221+'DOE25'!J239</f>
        <v>0</v>
      </c>
      <c r="G8" s="53">
        <f>'DOE25'!K203+'DOE25'!K221+'DOE25'!K239</f>
        <v>5852.2199999999993</v>
      </c>
      <c r="H8" s="260"/>
    </row>
    <row r="9" spans="1:9" x14ac:dyDescent="0.2">
      <c r="A9" s="32">
        <v>2310</v>
      </c>
      <c r="B9" t="s">
        <v>818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651207.13</v>
      </c>
      <c r="D12" s="20">
        <f>'DOE25'!L204+'DOE25'!L222+'DOE25'!L240-F12-G12</f>
        <v>636372.03</v>
      </c>
      <c r="E12" s="244"/>
      <c r="F12" s="256">
        <f>'DOE25'!J204+'DOE25'!J222+'DOE25'!J240</f>
        <v>3914.47</v>
      </c>
      <c r="G12" s="53">
        <f>'DOE25'!K204+'DOE25'!K222+'DOE25'!K240</f>
        <v>10920.630000000001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272430.88</v>
      </c>
      <c r="D13" s="244"/>
      <c r="E13" s="20">
        <f>'DOE25'!L205+'DOE25'!L223+'DOE25'!L241-F13-G13</f>
        <v>240721.43000000002</v>
      </c>
      <c r="F13" s="256">
        <f>'DOE25'!J205+'DOE25'!J223+'DOE25'!J241</f>
        <v>1258.92</v>
      </c>
      <c r="G13" s="53">
        <f>'DOE25'!K205+'DOE25'!K223+'DOE25'!K241</f>
        <v>30450.53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916355.42</v>
      </c>
      <c r="D14" s="20">
        <f>'DOE25'!L206+'DOE25'!L224+'DOE25'!L242-F14-G14</f>
        <v>913586.59000000008</v>
      </c>
      <c r="E14" s="244"/>
      <c r="F14" s="256">
        <f>'DOE25'!J206+'DOE25'!J224+'DOE25'!J242</f>
        <v>2768.83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524619.41999999993</v>
      </c>
      <c r="D15" s="20">
        <f>'DOE25'!L207+'DOE25'!L225+'DOE25'!L243-F15-G15</f>
        <v>524619.41999999993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165573.88</v>
      </c>
      <c r="D16" s="244"/>
      <c r="E16" s="20">
        <f>'DOE25'!L208+'DOE25'!L226+'DOE25'!L244-F16-G16</f>
        <v>162035.02000000002</v>
      </c>
      <c r="F16" s="256">
        <f>'DOE25'!J208+'DOE25'!J226+'DOE25'!J244</f>
        <v>3538.86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468981.25</v>
      </c>
      <c r="D25" s="244"/>
      <c r="E25" s="244"/>
      <c r="F25" s="259"/>
      <c r="G25" s="257"/>
      <c r="H25" s="258">
        <f>'DOE25'!L259+'DOE25'!L260+'DOE25'!L340+'DOE25'!L341</f>
        <v>468981.25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123171.15</v>
      </c>
      <c r="D29" s="20">
        <f>'DOE25'!L357+'DOE25'!L358+'DOE25'!L359-'DOE25'!I366-F29-G29</f>
        <v>119500.33</v>
      </c>
      <c r="E29" s="244"/>
      <c r="F29" s="256">
        <f>'DOE25'!J357+'DOE25'!J358+'DOE25'!J359</f>
        <v>3081.09</v>
      </c>
      <c r="G29" s="53">
        <f>'DOE25'!K357+'DOE25'!K358+'DOE25'!K359</f>
        <v>589.73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528244.59000000008</v>
      </c>
      <c r="D31" s="20">
        <f>'DOE25'!L289+'DOE25'!L308+'DOE25'!L327+'DOE25'!L332+'DOE25'!L333+'DOE25'!L334-F31-G31</f>
        <v>427764.7300000001</v>
      </c>
      <c r="E31" s="244"/>
      <c r="F31" s="256">
        <f>'DOE25'!J289+'DOE25'!J308+'DOE25'!J327+'DOE25'!J332+'DOE25'!J333+'DOE25'!J334</f>
        <v>99876.36</v>
      </c>
      <c r="G31" s="53">
        <f>'DOE25'!K289+'DOE25'!K308+'DOE25'!K327+'DOE25'!K332+'DOE25'!K333+'DOE25'!K334</f>
        <v>603.5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9871043.660000002</v>
      </c>
      <c r="E33" s="247">
        <f>SUM(E5:E31)</f>
        <v>868267.92</v>
      </c>
      <c r="F33" s="247">
        <f>SUM(F5:F31)</f>
        <v>149718.66999999998</v>
      </c>
      <c r="G33" s="247">
        <f>SUM(G5:G31)</f>
        <v>70915.62999999999</v>
      </c>
      <c r="H33" s="247">
        <f>SUM(H5:H31)</f>
        <v>468981.25</v>
      </c>
    </row>
    <row r="35" spans="2:8" ht="12" thickBot="1" x14ac:dyDescent="0.25">
      <c r="B35" s="254" t="s">
        <v>847</v>
      </c>
      <c r="D35" s="255">
        <f>E33</f>
        <v>868267.92</v>
      </c>
      <c r="E35" s="250"/>
    </row>
    <row r="36" spans="2:8" ht="12" thickTop="1" x14ac:dyDescent="0.2">
      <c r="B36" t="s">
        <v>815</v>
      </c>
      <c r="D36" s="20">
        <f>D33</f>
        <v>9871043.660000002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2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Wilton-Lyndeborough Cooperative S.D.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370296.85</v>
      </c>
      <c r="D8" s="95">
        <f>'DOE25'!G9</f>
        <v>113584.89</v>
      </c>
      <c r="E8" s="95">
        <f>'DOE25'!H9</f>
        <v>0</v>
      </c>
      <c r="F8" s="95">
        <f>'DOE25'!I9</f>
        <v>0</v>
      </c>
      <c r="G8" s="95">
        <f>'DOE25'!J9</f>
        <v>226821.07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159049.13999999998</v>
      </c>
      <c r="D11" s="95">
        <f>'DOE25'!G12</f>
        <v>0</v>
      </c>
      <c r="E11" s="95" t="str">
        <f>'DOE25'!H12</f>
        <v xml:space="preserve"> </v>
      </c>
      <c r="F11" s="95">
        <f>'DOE25'!I12</f>
        <v>40125.68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 t="str">
        <f>'DOE25'!F13</f>
        <v xml:space="preserve"> </v>
      </c>
      <c r="D12" s="95">
        <f>'DOE25'!G13</f>
        <v>16455.91</v>
      </c>
      <c r="E12" s="95">
        <f>'DOE25'!H13</f>
        <v>22371.19</v>
      </c>
      <c r="F12" s="95">
        <f>'DOE25'!I13</f>
        <v>11592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 t="str">
        <f>'DOE25'!F14</f>
        <v xml:space="preserve"> 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 t="str">
        <f>'DOE25'!F16</f>
        <v xml:space="preserve"> </v>
      </c>
      <c r="D15" s="95">
        <f>'DOE25'!G16</f>
        <v>0</v>
      </c>
      <c r="E15" s="95">
        <f>'DOE25'!H16</f>
        <v>0</v>
      </c>
      <c r="F15" s="95" t="str">
        <f>'DOE25'!I16</f>
        <v xml:space="preserve"> 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529345.99</v>
      </c>
      <c r="D18" s="41">
        <f>SUM(D8:D17)</f>
        <v>130040.8</v>
      </c>
      <c r="E18" s="41">
        <f>SUM(E8:E17)</f>
        <v>22371.19</v>
      </c>
      <c r="F18" s="41">
        <f>SUM(F8:F17)</f>
        <v>51717.68</v>
      </c>
      <c r="G18" s="41">
        <f>SUM(G8:G17)</f>
        <v>226821.07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-68087.739999999991</v>
      </c>
      <c r="D21" s="95">
        <f>'DOE25'!G22</f>
        <v>125085.95</v>
      </c>
      <c r="E21" s="95">
        <f>'DOE25'!H22</f>
        <v>22371.19</v>
      </c>
      <c r="F21" s="95">
        <f>'DOE25'!I22</f>
        <v>11592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 t="str">
        <f>'DOE25'!F23</f>
        <v xml:space="preserve"> </v>
      </c>
      <c r="D22" s="95">
        <f>'DOE25'!G23</f>
        <v>0</v>
      </c>
      <c r="E22" s="95">
        <f>'DOE25'!H23</f>
        <v>0</v>
      </c>
      <c r="F22" s="95" t="str">
        <f>'DOE25'!I23</f>
        <v xml:space="preserve"> 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 t="str">
        <f>'DOE25'!F24</f>
        <v xml:space="preserve"> </v>
      </c>
      <c r="D23" s="95">
        <f>'DOE25'!G24</f>
        <v>0</v>
      </c>
      <c r="E23" s="95" t="str">
        <f>'DOE25'!H24</f>
        <v xml:space="preserve"> 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2051.0100000000002</v>
      </c>
      <c r="D24" s="95">
        <f>'DOE25'!G25</f>
        <v>0</v>
      </c>
      <c r="E24" s="95">
        <f>'DOE25'!H25</f>
        <v>0</v>
      </c>
      <c r="F24" s="95" t="str">
        <f>'DOE25'!I25</f>
        <v xml:space="preserve"> 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 t="str">
        <f>'DOE25'!F28</f>
        <v xml:space="preserve"> 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18813.75</v>
      </c>
      <c r="E29" s="95" t="str">
        <f>'DOE25'!H30</f>
        <v xml:space="preserve"> </v>
      </c>
      <c r="F29" s="95" t="str">
        <f>'DOE25'!I30</f>
        <v xml:space="preserve"> 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-66036.73</v>
      </c>
      <c r="D31" s="41">
        <f>SUM(D21:D30)</f>
        <v>143899.70000000001</v>
      </c>
      <c r="E31" s="41">
        <f>SUM(E21:E30)</f>
        <v>22371.19</v>
      </c>
      <c r="F31" s="41">
        <f>SUM(F21:F30)</f>
        <v>11592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1899.42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-13858.9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 t="str">
        <f>'DOE25'!F43</f>
        <v xml:space="preserve"> </v>
      </c>
      <c r="D42" s="95">
        <f>'DOE25'!G43</f>
        <v>0</v>
      </c>
      <c r="E42" s="95">
        <f>'DOE25'!H43</f>
        <v>0</v>
      </c>
      <c r="F42" s="95">
        <f>'DOE25'!I43</f>
        <v>9268.7900000000009</v>
      </c>
      <c r="G42" s="95">
        <f>'DOE25'!J43</f>
        <v>226821.07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55000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30856.89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 t="str">
        <f>'DOE25'!I47</f>
        <v xml:space="preserve"> </v>
      </c>
      <c r="G46" s="95">
        <f>'DOE25'!J47</f>
        <v>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177124.81</v>
      </c>
      <c r="D47" s="95">
        <f>'DOE25'!G48</f>
        <v>0</v>
      </c>
      <c r="E47" s="95">
        <f>'DOE25'!H48</f>
        <v>0</v>
      </c>
      <c r="F47" s="95" t="str">
        <f>'DOE25'!I48</f>
        <v xml:space="preserve"> 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361358.49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595382.72</v>
      </c>
      <c r="D49" s="41">
        <f>SUM(D34:D48)</f>
        <v>-13858.9</v>
      </c>
      <c r="E49" s="41">
        <f>SUM(E34:E48)</f>
        <v>0</v>
      </c>
      <c r="F49" s="41">
        <f>SUM(F34:F48)</f>
        <v>40125.68</v>
      </c>
      <c r="G49" s="41">
        <f>SUM(G34:G48)</f>
        <v>226821.07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529345.99</v>
      </c>
      <c r="D50" s="41">
        <f>D49+D31</f>
        <v>130040.80000000002</v>
      </c>
      <c r="E50" s="41">
        <f>E49+E31</f>
        <v>22371.19</v>
      </c>
      <c r="F50" s="41">
        <f>F49+F31</f>
        <v>51717.68</v>
      </c>
      <c r="G50" s="41">
        <f>G49+G31</f>
        <v>226821.07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7381185</v>
      </c>
      <c r="D55" s="95">
        <f>'DOE25'!G59</f>
        <v>0</v>
      </c>
      <c r="E55" s="95">
        <f>'DOE25'!H59</f>
        <v>0</v>
      </c>
      <c r="F55" s="95">
        <f>'DOE25'!I59</f>
        <v>189000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16465.82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5022.7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177.85999999999999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111227.05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161913.12</v>
      </c>
      <c r="D60" s="95">
        <f>SUM('DOE25'!G97:G109)</f>
        <v>3200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183401.63999999998</v>
      </c>
      <c r="D61" s="130">
        <f>SUM(D56:D60)</f>
        <v>114427.05</v>
      </c>
      <c r="E61" s="130">
        <f>SUM(E56:E60)</f>
        <v>0</v>
      </c>
      <c r="F61" s="130">
        <f>SUM(F56:F60)</f>
        <v>0</v>
      </c>
      <c r="G61" s="130">
        <f>SUM(G56:G60)</f>
        <v>177.85999999999999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7564586.6399999997</v>
      </c>
      <c r="D62" s="22">
        <f>D55+D61</f>
        <v>114427.05</v>
      </c>
      <c r="E62" s="22">
        <f>E55+E61</f>
        <v>0</v>
      </c>
      <c r="F62" s="22">
        <f>F55+F61</f>
        <v>189000</v>
      </c>
      <c r="G62" s="22">
        <f>G55+G61</f>
        <v>177.85999999999999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1697968.82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1291533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1471.18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7662.98</v>
      </c>
      <c r="D68" s="95">
        <f>'DOE25'!G119</f>
        <v>0</v>
      </c>
      <c r="E68" s="95" t="str">
        <f>'DOE25'!H119</f>
        <v xml:space="preserve"> 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2998635.9800000004</v>
      </c>
      <c r="D69" s="139">
        <f>D68</f>
        <v>0</v>
      </c>
      <c r="E69" s="139" t="str">
        <f>E68</f>
        <v xml:space="preserve"> 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130000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 t="str">
        <f>'DOE25'!F123</f>
        <v xml:space="preserve"> </v>
      </c>
      <c r="D72" s="24" t="s">
        <v>289</v>
      </c>
      <c r="E72" s="24" t="s">
        <v>289</v>
      </c>
      <c r="F72" s="95">
        <f>'DOE25'!I123</f>
        <v>446622.95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15525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165109.48000000001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846.87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4200</v>
      </c>
      <c r="D76" s="95">
        <f>SUM('DOE25'!G130:G134)</f>
        <v>18848.48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315681.34999999998</v>
      </c>
      <c r="D77" s="130">
        <f>SUM(D71:D76)</f>
        <v>18848.48</v>
      </c>
      <c r="E77" s="130">
        <f>SUM(E71:E76)</f>
        <v>0</v>
      </c>
      <c r="F77" s="130">
        <f>SUM(F71:F76)</f>
        <v>446622.95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3314317.3300000005</v>
      </c>
      <c r="D80" s="130">
        <f>SUM(D78:D79)+D77+D69</f>
        <v>18848.48</v>
      </c>
      <c r="E80" s="130">
        <f>SUM(E78:E79)+E77+E69</f>
        <v>0</v>
      </c>
      <c r="F80" s="130">
        <f>SUM(F78:F79)+F77+F69</f>
        <v>446622.95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65047.99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16922.27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103369.76</v>
      </c>
      <c r="D87" s="95">
        <f>SUM('DOE25'!G152:G160)</f>
        <v>69151.350000000006</v>
      </c>
      <c r="E87" s="95">
        <f>SUM('DOE25'!H152:H160)</f>
        <v>446274.32999999996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103369.76</v>
      </c>
      <c r="D90" s="131">
        <f>SUM(D84:D89)</f>
        <v>69151.350000000006</v>
      </c>
      <c r="E90" s="131">
        <f>SUM(E84:E89)</f>
        <v>528244.59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19224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73053.2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92277.2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11074550.93</v>
      </c>
      <c r="D103" s="86">
        <f>D62+D80+D90+D102</f>
        <v>202426.88</v>
      </c>
      <c r="E103" s="86">
        <f>E62+E80+E90+E102</f>
        <v>528244.59</v>
      </c>
      <c r="F103" s="86">
        <f>F62+F80+F90+F102</f>
        <v>635622.94999999995</v>
      </c>
      <c r="G103" s="86">
        <f>G62+G80+G102</f>
        <v>50177.86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4316804.8000000007</v>
      </c>
      <c r="D108" s="24" t="s">
        <v>289</v>
      </c>
      <c r="E108" s="95">
        <f>('DOE25'!L275)+('DOE25'!L294)+('DOE25'!L313)</f>
        <v>183514.21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1598294.1</v>
      </c>
      <c r="D109" s="24" t="s">
        <v>289</v>
      </c>
      <c r="E109" s="95">
        <f>('DOE25'!L276)+('DOE25'!L295)+('DOE25'!L314)</f>
        <v>106407.78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5272.65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133469.28999999998</v>
      </c>
      <c r="D111" s="24" t="s">
        <v>289</v>
      </c>
      <c r="E111" s="95">
        <f>+('DOE25'!L278)+('DOE25'!L297)+('DOE25'!L316)</f>
        <v>10767.3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6053840.8400000008</v>
      </c>
      <c r="D114" s="86">
        <f>SUM(D108:D113)</f>
        <v>0</v>
      </c>
      <c r="E114" s="86">
        <f>SUM(E108:E113)</f>
        <v>300689.28999999998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1083979.3900000001</v>
      </c>
      <c r="D117" s="24" t="s">
        <v>289</v>
      </c>
      <c r="E117" s="95">
        <f>+('DOE25'!L280)+('DOE25'!L299)+('DOE25'!L318)</f>
        <v>106223.59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169159.49</v>
      </c>
      <c r="D118" s="24" t="s">
        <v>289</v>
      </c>
      <c r="E118" s="95">
        <f>+('DOE25'!L281)+('DOE25'!L300)+('DOE25'!L319)</f>
        <v>120214.41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471363.68999999994</v>
      </c>
      <c r="D119" s="24" t="s">
        <v>289</v>
      </c>
      <c r="E119" s="95">
        <f>+('DOE25'!L282)+('DOE25'!L301)+('DOE25'!L320)</f>
        <v>1071.5999999999999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651207.13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272430.88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916355.42</v>
      </c>
      <c r="D122" s="24" t="s">
        <v>289</v>
      </c>
      <c r="E122" s="95">
        <f>+('DOE25'!L285)+('DOE25'!L304)+('DOE25'!L323)</f>
        <v>45.7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524619.41999999993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165573.88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222870.78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4254689.3</v>
      </c>
      <c r="D127" s="86">
        <f>SUM(D117:D126)</f>
        <v>222870.78</v>
      </c>
      <c r="E127" s="86">
        <f>SUM(E117:E126)</f>
        <v>227555.30000000002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595497.27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325000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143981.25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92277.2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50177.860000000008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-177.86000000000786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518981.25</v>
      </c>
      <c r="D143" s="141">
        <f>SUM(D129:D142)</f>
        <v>0</v>
      </c>
      <c r="E143" s="141">
        <f>SUM(E129:E142)</f>
        <v>0</v>
      </c>
      <c r="F143" s="141">
        <f>SUM(F129:F142)</f>
        <v>595497.27</v>
      </c>
      <c r="G143" s="141">
        <f>SUM(G129:G142)</f>
        <v>92277.2</v>
      </c>
    </row>
    <row r="144" spans="1:7" ht="12.75" thickTop="1" thickBot="1" x14ac:dyDescent="0.25">
      <c r="A144" s="33" t="s">
        <v>244</v>
      </c>
      <c r="C144" s="86">
        <f>(C114+C127+C143)</f>
        <v>10827511.390000001</v>
      </c>
      <c r="D144" s="86">
        <f>(D114+D127+D143)</f>
        <v>222870.78</v>
      </c>
      <c r="E144" s="86">
        <f>(E114+E127+E143)</f>
        <v>528244.59</v>
      </c>
      <c r="F144" s="86">
        <f>(F114+F127+F143)</f>
        <v>595497.27</v>
      </c>
      <c r="G144" s="86">
        <f>(G114+G127+G143)</f>
        <v>92277.2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07/99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6476775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2905000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2905000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325000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325000</v>
      </c>
    </row>
    <row r="158" spans="1:9" x14ac:dyDescent="0.2">
      <c r="A158" s="22" t="s">
        <v>35</v>
      </c>
      <c r="B158" s="137">
        <f>'DOE25'!F497</f>
        <v>2580000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2580000</v>
      </c>
    </row>
    <row r="159" spans="1:9" x14ac:dyDescent="0.2">
      <c r="A159" s="22" t="s">
        <v>36</v>
      </c>
      <c r="B159" s="137">
        <f>'DOE25'!F498</f>
        <v>539700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539700</v>
      </c>
    </row>
    <row r="160" spans="1:9" x14ac:dyDescent="0.2">
      <c r="A160" s="22" t="s">
        <v>37</v>
      </c>
      <c r="B160" s="137">
        <f>'DOE25'!F499</f>
        <v>3119700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3119700</v>
      </c>
    </row>
    <row r="161" spans="1:7" x14ac:dyDescent="0.2">
      <c r="A161" s="22" t="s">
        <v>38</v>
      </c>
      <c r="B161" s="137">
        <f>'DOE25'!F500</f>
        <v>325000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325000</v>
      </c>
    </row>
    <row r="162" spans="1:7" x14ac:dyDescent="0.2">
      <c r="A162" s="22" t="s">
        <v>39</v>
      </c>
      <c r="B162" s="137">
        <f>'DOE25'!F501</f>
        <v>126919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126919</v>
      </c>
    </row>
    <row r="163" spans="1:7" x14ac:dyDescent="0.2">
      <c r="A163" s="22" t="s">
        <v>246</v>
      </c>
      <c r="B163" s="137">
        <f>'DOE25'!F502</f>
        <v>451919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451919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7"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Wilton-Lyndeborough Cooperative S.D.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15514</v>
      </c>
    </row>
    <row r="5" spans="1:4" x14ac:dyDescent="0.2">
      <c r="B5" t="s">
        <v>704</v>
      </c>
      <c r="C5" s="179">
        <f>IF('DOE25'!G664+'DOE25'!G669=0,0,ROUND('DOE25'!G671,0))</f>
        <v>18125</v>
      </c>
    </row>
    <row r="6" spans="1:4" x14ac:dyDescent="0.2">
      <c r="B6" t="s">
        <v>62</v>
      </c>
      <c r="C6" s="179">
        <f>IF('DOE25'!H664+'DOE25'!H669=0,0,ROUND('DOE25'!H671,0))</f>
        <v>14172</v>
      </c>
    </row>
    <row r="7" spans="1:4" x14ac:dyDescent="0.2">
      <c r="B7" t="s">
        <v>705</v>
      </c>
      <c r="C7" s="179">
        <f>IF('DOE25'!I664+'DOE25'!I669=0,0,ROUND('DOE25'!I671,0))</f>
        <v>15467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4500319</v>
      </c>
      <c r="D10" s="182">
        <f>ROUND((C10/$C$28)*100,1)</f>
        <v>40.6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1704702</v>
      </c>
      <c r="D11" s="182">
        <f>ROUND((C11/$C$28)*100,1)</f>
        <v>15.4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5273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144237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1190203</v>
      </c>
      <c r="D15" s="182">
        <f t="shared" ref="D15:D27" si="0">ROUND((C15/$C$28)*100,1)</f>
        <v>10.7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289374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638009</v>
      </c>
      <c r="D17" s="182">
        <f t="shared" si="0"/>
        <v>5.8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651207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272431</v>
      </c>
      <c r="D19" s="182">
        <f t="shared" si="0"/>
        <v>2.5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916401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524619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143981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108443.95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11089199.949999999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595497</v>
      </c>
    </row>
    <row r="30" spans="1:4" x14ac:dyDescent="0.2">
      <c r="B30" s="187" t="s">
        <v>729</v>
      </c>
      <c r="C30" s="180">
        <f>SUM(C28:C29)</f>
        <v>11684696.949999999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325000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7570185</v>
      </c>
      <c r="D35" s="182">
        <f t="shared" ref="D35:D40" si="1">ROUND((C35/$C$41)*100,1)</f>
        <v>61.9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183579.50000000093</v>
      </c>
      <c r="D36" s="182">
        <f t="shared" si="1"/>
        <v>1.5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2990973</v>
      </c>
      <c r="D37" s="182">
        <f t="shared" si="1"/>
        <v>24.4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788816</v>
      </c>
      <c r="D38" s="182">
        <f t="shared" si="1"/>
        <v>6.4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700766</v>
      </c>
      <c r="D39" s="182">
        <f t="shared" si="1"/>
        <v>5.7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12234319.5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7" activePane="bottomLeft" state="frozen"/>
      <selection pane="bottomLeft" activeCell="B10" sqref="B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Wilton-Lyndeborough Cooperative S.D.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>
        <v>4</v>
      </c>
      <c r="B4" s="220">
        <v>4</v>
      </c>
      <c r="C4" s="280" t="s">
        <v>911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4</v>
      </c>
      <c r="B5" s="220">
        <v>15</v>
      </c>
      <c r="C5" s="280" t="s">
        <v>913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1</v>
      </c>
      <c r="B6" s="220">
        <v>26</v>
      </c>
      <c r="C6" s="280" t="s">
        <v>912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2</v>
      </c>
      <c r="B7" s="220">
        <v>1</v>
      </c>
      <c r="C7" s="280" t="s">
        <v>917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>
        <v>5</v>
      </c>
      <c r="B8" s="220">
        <v>14</v>
      </c>
      <c r="C8" s="280" t="s">
        <v>916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>
        <v>4</v>
      </c>
      <c r="B9" s="220">
        <v>4</v>
      </c>
      <c r="C9" s="280" t="s">
        <v>920</v>
      </c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>
        <v>5</v>
      </c>
      <c r="B10" s="220">
        <v>2</v>
      </c>
      <c r="C10" s="280" t="s">
        <v>921</v>
      </c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 t="s">
        <v>287</v>
      </c>
      <c r="B11" s="220" t="s">
        <v>287</v>
      </c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 t="s">
        <v>287</v>
      </c>
      <c r="B12" s="220" t="s">
        <v>287</v>
      </c>
      <c r="C12" s="280" t="s">
        <v>287</v>
      </c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 t="s">
        <v>287</v>
      </c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 t="s">
        <v>287</v>
      </c>
      <c r="B14" s="220" t="s">
        <v>287</v>
      </c>
      <c r="C14" s="280" t="s">
        <v>287</v>
      </c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 t="s">
        <v>287</v>
      </c>
      <c r="B15" s="220" t="s">
        <v>287</v>
      </c>
      <c r="C15" s="280" t="s">
        <v>287</v>
      </c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 t="s">
        <v>287</v>
      </c>
      <c r="B16" s="220" t="s">
        <v>287</v>
      </c>
      <c r="C16" s="280" t="s">
        <v>287</v>
      </c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 t="s">
        <v>287</v>
      </c>
      <c r="B18" s="220" t="s">
        <v>287</v>
      </c>
      <c r="C18" s="280" t="s">
        <v>287</v>
      </c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 t="s">
        <v>287</v>
      </c>
      <c r="B19" s="220" t="s">
        <v>287</v>
      </c>
      <c r="C19" s="280" t="s">
        <v>287</v>
      </c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 t="s">
        <v>287</v>
      </c>
      <c r="B20" s="220" t="s">
        <v>287</v>
      </c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2013-03-21T13:49:24Z</cp:lastPrinted>
  <dcterms:created xsi:type="dcterms:W3CDTF">1997-12-04T19:04:30Z</dcterms:created>
  <dcterms:modified xsi:type="dcterms:W3CDTF">2013-03-21T13:49:30Z</dcterms:modified>
</cp:coreProperties>
</file>