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197" i="1" l="1"/>
  <c r="F116" i="1"/>
  <c r="H603" i="1" l="1"/>
  <c r="H287" i="1"/>
  <c r="F366" i="1"/>
  <c r="H357" i="1"/>
  <c r="I357" i="1"/>
  <c r="G357" i="1"/>
  <c r="H542" i="1"/>
  <c r="H532" i="1"/>
  <c r="H527" i="1"/>
  <c r="H596" i="1"/>
  <c r="J591" i="1"/>
  <c r="I206" i="1"/>
  <c r="G196" i="1"/>
  <c r="F196" i="1"/>
  <c r="G197" i="1"/>
  <c r="I197" i="1"/>
  <c r="F197" i="1"/>
  <c r="F199" i="1"/>
  <c r="H201" i="1"/>
  <c r="G201" i="1"/>
  <c r="F201" i="1"/>
  <c r="F202" i="1"/>
  <c r="K203" i="1"/>
  <c r="I203" i="1"/>
  <c r="H203" i="1"/>
  <c r="G203" i="1"/>
  <c r="F203" i="1"/>
  <c r="I204" i="1"/>
  <c r="H204" i="1"/>
  <c r="G204" i="1"/>
  <c r="F204" i="1"/>
  <c r="G205" i="1"/>
  <c r="F205" i="1"/>
  <c r="H206" i="1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6" i="1" s="1"/>
  <c r="L405" i="1"/>
  <c r="L265" i="1"/>
  <c r="J59" i="1"/>
  <c r="G55" i="2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111" i="1" s="1"/>
  <c r="F93" i="1"/>
  <c r="F110" i="1"/>
  <c r="G110" i="1"/>
  <c r="G111" i="1"/>
  <c r="H78" i="1"/>
  <c r="H93" i="1"/>
  <c r="H110" i="1"/>
  <c r="I110" i="1"/>
  <c r="I111" i="1" s="1"/>
  <c r="J110" i="1"/>
  <c r="J111" i="1" s="1"/>
  <c r="F120" i="1"/>
  <c r="F135" i="1"/>
  <c r="F139" i="1"/>
  <c r="G120" i="1"/>
  <c r="G135" i="1"/>
  <c r="G139" i="1" s="1"/>
  <c r="G192" i="1" s="1"/>
  <c r="H120" i="1"/>
  <c r="H135" i="1"/>
  <c r="I120" i="1"/>
  <c r="I135" i="1"/>
  <c r="I139" i="1"/>
  <c r="J120" i="1"/>
  <c r="J135" i="1"/>
  <c r="F146" i="1"/>
  <c r="F161" i="1"/>
  <c r="G146" i="1"/>
  <c r="G161" i="1"/>
  <c r="G168" i="1" s="1"/>
  <c r="H146" i="1"/>
  <c r="H161" i="1"/>
  <c r="I146" i="1"/>
  <c r="I161" i="1"/>
  <c r="C10" i="10"/>
  <c r="C11" i="10"/>
  <c r="C12" i="10"/>
  <c r="C13" i="10"/>
  <c r="C15" i="10"/>
  <c r="C16" i="10"/>
  <c r="C20" i="10"/>
  <c r="C21" i="10"/>
  <c r="L249" i="1"/>
  <c r="L331" i="1"/>
  <c r="L253" i="1"/>
  <c r="C24" i="10" s="1"/>
  <c r="C25" i="10"/>
  <c r="L267" i="1"/>
  <c r="L268" i="1"/>
  <c r="L348" i="1"/>
  <c r="L349" i="1"/>
  <c r="I664" i="1"/>
  <c r="I669" i="1"/>
  <c r="L228" i="1"/>
  <c r="F660" i="1"/>
  <c r="G660" i="1"/>
  <c r="H660" i="1"/>
  <c r="F661" i="1"/>
  <c r="G661" i="1"/>
  <c r="H661" i="1"/>
  <c r="I668" i="1"/>
  <c r="C5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I551" i="1" s="1"/>
  <c r="L536" i="1"/>
  <c r="I549" i="1"/>
  <c r="L537" i="1"/>
  <c r="I550" i="1"/>
  <c r="L540" i="1"/>
  <c r="J548" i="1"/>
  <c r="L541" i="1"/>
  <c r="J549" i="1"/>
  <c r="L542" i="1"/>
  <c r="J550" i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/>
  <c r="C9" i="2"/>
  <c r="D9" i="2"/>
  <c r="E9" i="2"/>
  <c r="F9" i="2"/>
  <c r="I439" i="1"/>
  <c r="J10" i="1"/>
  <c r="G9" i="2" s="1"/>
  <c r="C10" i="2"/>
  <c r="C11" i="2"/>
  <c r="D11" i="2"/>
  <c r="E11" i="2"/>
  <c r="F11" i="2"/>
  <c r="I440" i="1"/>
  <c r="J12" i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/>
  <c r="C23" i="2"/>
  <c r="D23" i="2"/>
  <c r="E23" i="2"/>
  <c r="F23" i="2"/>
  <c r="I449" i="1"/>
  <c r="J24" i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/>
  <c r="I455" i="1"/>
  <c r="J43" i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C69" i="2"/>
  <c r="D68" i="2"/>
  <c r="D69" i="2"/>
  <c r="E68" i="2"/>
  <c r="E69" i="2"/>
  <c r="F68" i="2"/>
  <c r="F69" i="2"/>
  <c r="G68" i="2"/>
  <c r="G69" i="2"/>
  <c r="C71" i="2"/>
  <c r="F71" i="2"/>
  <c r="C72" i="2"/>
  <c r="F72" i="2"/>
  <c r="C73" i="2"/>
  <c r="C74" i="2"/>
  <c r="C75" i="2"/>
  <c r="E75" i="2"/>
  <c r="F75" i="2"/>
  <c r="C76" i="2"/>
  <c r="D76" i="2"/>
  <c r="D77" i="2"/>
  <c r="D80" i="2" s="1"/>
  <c r="E76" i="2"/>
  <c r="F76" i="2"/>
  <c r="G76" i="2"/>
  <c r="G77" i="2" s="1"/>
  <c r="G80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D102" i="2" s="1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 s="1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160" i="2" s="1"/>
  <c r="G499" i="1"/>
  <c r="C160" i="2"/>
  <c r="H499" i="1"/>
  <c r="D160" i="2"/>
  <c r="I499" i="1"/>
  <c r="E160" i="2"/>
  <c r="J499" i="1"/>
  <c r="F160" i="2"/>
  <c r="B161" i="2"/>
  <c r="C161" i="2"/>
  <c r="D161" i="2"/>
  <c r="E161" i="2"/>
  <c r="F161" i="2"/>
  <c r="B162" i="2"/>
  <c r="C162" i="2"/>
  <c r="D162" i="2"/>
  <c r="E162" i="2"/>
  <c r="F162" i="2"/>
  <c r="F502" i="1"/>
  <c r="B163" i="2"/>
  <c r="G502" i="1"/>
  <c r="C163" i="2"/>
  <c r="H502" i="1"/>
  <c r="D163" i="2"/>
  <c r="I502" i="1"/>
  <c r="E163" i="2"/>
  <c r="J502" i="1"/>
  <c r="F163" i="2"/>
  <c r="F19" i="1"/>
  <c r="G19" i="1"/>
  <c r="H19" i="1"/>
  <c r="I19" i="1"/>
  <c r="F32" i="1"/>
  <c r="G32" i="1"/>
  <c r="H32" i="1"/>
  <c r="I32" i="1"/>
  <c r="F50" i="1"/>
  <c r="F51" i="1" s="1"/>
  <c r="H616" i="1" s="1"/>
  <c r="J616" i="1" s="1"/>
  <c r="G50" i="1"/>
  <c r="G51" i="1" s="1"/>
  <c r="H617" i="1" s="1"/>
  <c r="H50" i="1"/>
  <c r="H51" i="1"/>
  <c r="H618" i="1" s="1"/>
  <c r="J618" i="1" s="1"/>
  <c r="I50" i="1"/>
  <c r="I51" i="1" s="1"/>
  <c r="H619" i="1" s="1"/>
  <c r="J619" i="1" s="1"/>
  <c r="F176" i="1"/>
  <c r="I176" i="1"/>
  <c r="I191" i="1" s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J351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/>
  <c r="G635" i="1" s="1"/>
  <c r="J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F433" i="1" s="1"/>
  <c r="G418" i="1"/>
  <c r="H418" i="1"/>
  <c r="I418" i="1"/>
  <c r="I433" i="1" s="1"/>
  <c r="J418" i="1"/>
  <c r="J433" i="1" s="1"/>
  <c r="L420" i="1"/>
  <c r="L421" i="1"/>
  <c r="L422" i="1"/>
  <c r="L423" i="1"/>
  <c r="L424" i="1"/>
  <c r="L425" i="1"/>
  <c r="F426" i="1"/>
  <c r="G426" i="1"/>
  <c r="G433" i="1"/>
  <c r="H426" i="1"/>
  <c r="I426" i="1"/>
  <c r="J426" i="1"/>
  <c r="L428" i="1"/>
  <c r="L429" i="1"/>
  <c r="L430" i="1"/>
  <c r="L431" i="1"/>
  <c r="F432" i="1"/>
  <c r="G432" i="1"/>
  <c r="H432" i="1"/>
  <c r="H433" i="1" s="1"/>
  <c r="I432" i="1"/>
  <c r="J432" i="1"/>
  <c r="F445" i="1"/>
  <c r="G445" i="1"/>
  <c r="H445" i="1"/>
  <c r="I445" i="1"/>
  <c r="F451" i="1"/>
  <c r="G451" i="1"/>
  <c r="H451" i="1"/>
  <c r="H460" i="1" s="1"/>
  <c r="H640" i="1" s="1"/>
  <c r="J640" i="1" s="1"/>
  <c r="I451" i="1"/>
  <c r="F459" i="1"/>
  <c r="G459" i="1"/>
  <c r="H459" i="1"/>
  <c r="I459" i="1"/>
  <c r="F460" i="1"/>
  <c r="H638" i="1" s="1"/>
  <c r="J638" i="1" s="1"/>
  <c r="G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F544" i="1" s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G570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J648" i="1" s="1"/>
  <c r="I597" i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G619" i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G639" i="1"/>
  <c r="H639" i="1"/>
  <c r="G640" i="1"/>
  <c r="G641" i="1"/>
  <c r="H641" i="1"/>
  <c r="G642" i="1"/>
  <c r="H642" i="1"/>
  <c r="G643" i="1"/>
  <c r="H643" i="1"/>
  <c r="G644" i="1"/>
  <c r="H644" i="1"/>
  <c r="H646" i="1"/>
  <c r="G648" i="1"/>
  <c r="G649" i="1"/>
  <c r="H649" i="1"/>
  <c r="J649" i="1" s="1"/>
  <c r="G650" i="1"/>
  <c r="J650" i="1" s="1"/>
  <c r="G651" i="1"/>
  <c r="H651" i="1"/>
  <c r="G652" i="1"/>
  <c r="H652" i="1"/>
  <c r="J652" i="1"/>
  <c r="G653" i="1"/>
  <c r="H653" i="1"/>
  <c r="J653" i="1" s="1"/>
  <c r="H654" i="1"/>
  <c r="F191" i="1"/>
  <c r="L255" i="1"/>
  <c r="K256" i="1"/>
  <c r="K270" i="1" s="1"/>
  <c r="I256" i="1"/>
  <c r="I270" i="1" s="1"/>
  <c r="G256" i="1"/>
  <c r="G270" i="1" s="1"/>
  <c r="G159" i="2"/>
  <c r="C18" i="2"/>
  <c r="F31" i="2"/>
  <c r="C26" i="10"/>
  <c r="L327" i="1"/>
  <c r="L350" i="1"/>
  <c r="I661" i="1"/>
  <c r="L289" i="1"/>
  <c r="A31" i="12"/>
  <c r="A40" i="12"/>
  <c r="D12" i="13"/>
  <c r="C12" i="13" s="1"/>
  <c r="G8" i="2"/>
  <c r="G161" i="2"/>
  <c r="D61" i="2"/>
  <c r="D62" i="2"/>
  <c r="E49" i="2"/>
  <c r="D18" i="13"/>
  <c r="C18" i="13" s="1"/>
  <c r="D15" i="13"/>
  <c r="C15" i="13" s="1"/>
  <c r="D7" i="13"/>
  <c r="C7" i="13" s="1"/>
  <c r="F102" i="2"/>
  <c r="D18" i="2"/>
  <c r="E18" i="2"/>
  <c r="D17" i="13"/>
  <c r="C17" i="13" s="1"/>
  <c r="D6" i="13"/>
  <c r="C6" i="13" s="1"/>
  <c r="E8" i="13"/>
  <c r="C8" i="13" s="1"/>
  <c r="G158" i="2"/>
  <c r="C90" i="2"/>
  <c r="F77" i="2"/>
  <c r="F80" i="2" s="1"/>
  <c r="F61" i="2"/>
  <c r="F62" i="2" s="1"/>
  <c r="F103" i="2" s="1"/>
  <c r="D31" i="2"/>
  <c r="C77" i="2"/>
  <c r="D49" i="2"/>
  <c r="D50" i="2" s="1"/>
  <c r="G156" i="2"/>
  <c r="F49" i="2"/>
  <c r="F50" i="2"/>
  <c r="F18" i="2"/>
  <c r="G162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E31" i="2"/>
  <c r="E50" i="2" s="1"/>
  <c r="C31" i="2"/>
  <c r="G61" i="2"/>
  <c r="G62" i="2"/>
  <c r="G103" i="2" s="1"/>
  <c r="D29" i="13"/>
  <c r="C29" i="13" s="1"/>
  <c r="D19" i="13"/>
  <c r="C19" i="13" s="1"/>
  <c r="D14" i="13"/>
  <c r="C14" i="13" s="1"/>
  <c r="E13" i="13"/>
  <c r="C13" i="13" s="1"/>
  <c r="E77" i="2"/>
  <c r="E80" i="2" s="1"/>
  <c r="L426" i="1"/>
  <c r="J256" i="1"/>
  <c r="H111" i="1"/>
  <c r="K604" i="1"/>
  <c r="G647" i="1"/>
  <c r="J570" i="1"/>
  <c r="K570" i="1"/>
  <c r="L432" i="1"/>
  <c r="L418" i="1"/>
  <c r="L433" i="1" s="1"/>
  <c r="G637" i="1" s="1"/>
  <c r="J637" i="1" s="1"/>
  <c r="I168" i="1"/>
  <c r="H168" i="1"/>
  <c r="J643" i="1"/>
  <c r="J642" i="1"/>
  <c r="J475" i="1"/>
  <c r="H625" i="1"/>
  <c r="F475" i="1"/>
  <c r="H621" i="1"/>
  <c r="J621" i="1" s="1"/>
  <c r="I475" i="1"/>
  <c r="H624" i="1" s="1"/>
  <c r="J624" i="1" s="1"/>
  <c r="G475" i="1"/>
  <c r="H622" i="1"/>
  <c r="J622" i="1" s="1"/>
  <c r="G337" i="1"/>
  <c r="G351" i="1" s="1"/>
  <c r="C23" i="10"/>
  <c r="F168" i="1"/>
  <c r="C39" i="10" s="1"/>
  <c r="J139" i="1"/>
  <c r="F570" i="1"/>
  <c r="H256" i="1"/>
  <c r="H270" i="1" s="1"/>
  <c r="G22" i="2"/>
  <c r="K597" i="1"/>
  <c r="G646" i="1" s="1"/>
  <c r="J646" i="1" s="1"/>
  <c r="K544" i="1"/>
  <c r="C29" i="10"/>
  <c r="I660" i="1"/>
  <c r="H139" i="1"/>
  <c r="L400" i="1"/>
  <c r="C138" i="2" s="1"/>
  <c r="L392" i="1"/>
  <c r="A13" i="12"/>
  <c r="F22" i="13"/>
  <c r="C22" i="13" s="1"/>
  <c r="H25" i="13"/>
  <c r="H33" i="13"/>
  <c r="J639" i="1"/>
  <c r="J633" i="1"/>
  <c r="H570" i="1"/>
  <c r="L559" i="1"/>
  <c r="J544" i="1"/>
  <c r="L336" i="1"/>
  <c r="H337" i="1"/>
  <c r="H351" i="1" s="1"/>
  <c r="F337" i="1"/>
  <c r="F351" i="1" s="1"/>
  <c r="G191" i="1"/>
  <c r="H191" i="1"/>
  <c r="E127" i="2"/>
  <c r="E144" i="2" s="1"/>
  <c r="C35" i="10"/>
  <c r="C36" i="10" s="1"/>
  <c r="L308" i="1"/>
  <c r="G659" i="1" s="1"/>
  <c r="D5" i="13"/>
  <c r="C5" i="13" s="1"/>
  <c r="E16" i="13"/>
  <c r="C16" i="13" s="1"/>
  <c r="C49" i="2"/>
  <c r="J654" i="1"/>
  <c r="J644" i="1"/>
  <c r="L569" i="1"/>
  <c r="I570" i="1"/>
  <c r="I544" i="1"/>
  <c r="G36" i="2"/>
  <c r="L564" i="1"/>
  <c r="L570" i="1"/>
  <c r="G544" i="1"/>
  <c r="L544" i="1"/>
  <c r="H544" i="1"/>
  <c r="C137" i="2"/>
  <c r="C25" i="13"/>
  <c r="J617" i="1"/>
  <c r="G47" i="2"/>
  <c r="G49" i="2"/>
  <c r="J50" i="1"/>
  <c r="G627" i="1"/>
  <c r="J627" i="1"/>
  <c r="J551" i="1"/>
  <c r="H551" i="1"/>
  <c r="K550" i="1"/>
  <c r="G551" i="1"/>
  <c r="F551" i="1"/>
  <c r="K548" i="1"/>
  <c r="I662" i="1"/>
  <c r="C17" i="10"/>
  <c r="C120" i="2"/>
  <c r="C127" i="2" s="1"/>
  <c r="C19" i="10"/>
  <c r="C18" i="10"/>
  <c r="E33" i="13"/>
  <c r="D35" i="13" s="1"/>
  <c r="J270" i="1"/>
  <c r="L210" i="1"/>
  <c r="C38" i="10"/>
  <c r="F192" i="1"/>
  <c r="G626" i="1" s="1"/>
  <c r="J626" i="1" s="1"/>
  <c r="C80" i="2"/>
  <c r="C103" i="2" s="1"/>
  <c r="G625" i="1"/>
  <c r="J625" i="1" s="1"/>
  <c r="C50" i="2"/>
  <c r="H475" i="1"/>
  <c r="H623" i="1"/>
  <c r="J623" i="1" s="1"/>
  <c r="A22" i="12"/>
  <c r="E90" i="2"/>
  <c r="E103" i="2"/>
  <c r="H192" i="1"/>
  <c r="G628" i="1"/>
  <c r="J628" i="1" s="1"/>
  <c r="D103" i="2"/>
  <c r="J192" i="1"/>
  <c r="G645" i="1" s="1"/>
  <c r="J641" i="1"/>
  <c r="G163" i="2"/>
  <c r="C6" i="10"/>
  <c r="G630" i="1"/>
  <c r="J630" i="1" s="1"/>
  <c r="C41" i="10" l="1"/>
  <c r="D40" i="10" s="1"/>
  <c r="D38" i="10"/>
  <c r="D36" i="10"/>
  <c r="J32" i="1"/>
  <c r="J51" i="1" s="1"/>
  <c r="H620" i="1" s="1"/>
  <c r="G21" i="2"/>
  <c r="G31" i="2" s="1"/>
  <c r="G12" i="2"/>
  <c r="G18" i="2" s="1"/>
  <c r="J19" i="1"/>
  <c r="G620" i="1" s="1"/>
  <c r="J620" i="1" s="1"/>
  <c r="K549" i="1"/>
  <c r="K551" i="1" s="1"/>
  <c r="G50" i="2"/>
  <c r="I192" i="1"/>
  <c r="G629" i="1" s="1"/>
  <c r="J629" i="1" s="1"/>
  <c r="C139" i="2"/>
  <c r="C140" i="2" s="1"/>
  <c r="L407" i="1"/>
  <c r="G663" i="1"/>
  <c r="H647" i="1"/>
  <c r="J647" i="1" s="1"/>
  <c r="J651" i="1"/>
  <c r="F143" i="2"/>
  <c r="F144" i="2" s="1"/>
  <c r="L361" i="1"/>
  <c r="L246" i="1"/>
  <c r="C27" i="10"/>
  <c r="C28" i="10" s="1"/>
  <c r="G634" i="1"/>
  <c r="J634" i="1" s="1"/>
  <c r="D144" i="2"/>
  <c r="H659" i="1"/>
  <c r="H663" i="1" s="1"/>
  <c r="H666" i="1" s="1"/>
  <c r="F31" i="13"/>
  <c r="L337" i="1"/>
  <c r="L351" i="1" s="1"/>
  <c r="G632" i="1" s="1"/>
  <c r="J632" i="1" s="1"/>
  <c r="I337" i="1"/>
  <c r="I351" i="1" s="1"/>
  <c r="G31" i="13"/>
  <c r="D31" i="13" s="1"/>
  <c r="F33" i="13"/>
  <c r="C143" i="2"/>
  <c r="C144" i="2" s="1"/>
  <c r="L256" i="1"/>
  <c r="L270" i="1" s="1"/>
  <c r="G631" i="1" s="1"/>
  <c r="J631" i="1" s="1"/>
  <c r="G671" i="1"/>
  <c r="G666" i="1"/>
  <c r="G33" i="13"/>
  <c r="F659" i="1"/>
  <c r="D35" i="10" l="1"/>
  <c r="D39" i="10"/>
  <c r="D37" i="10"/>
  <c r="H671" i="1"/>
  <c r="G636" i="1"/>
  <c r="H645" i="1"/>
  <c r="J645" i="1" s="1"/>
  <c r="D24" i="10"/>
  <c r="D17" i="10"/>
  <c r="D27" i="10"/>
  <c r="D11" i="10"/>
  <c r="D16" i="10"/>
  <c r="D18" i="10"/>
  <c r="D23" i="10"/>
  <c r="D20" i="10"/>
  <c r="D33" i="13"/>
  <c r="D36" i="13" s="1"/>
  <c r="C31" i="13"/>
  <c r="D10" i="10"/>
  <c r="D21" i="10"/>
  <c r="C30" i="10"/>
  <c r="D22" i="10"/>
  <c r="D25" i="10"/>
  <c r="D12" i="10"/>
  <c r="D26" i="10"/>
  <c r="D13" i="10"/>
  <c r="D15" i="10"/>
  <c r="D19" i="10"/>
  <c r="F663" i="1"/>
  <c r="I659" i="1"/>
  <c r="I663" i="1" s="1"/>
  <c r="D41" i="10" l="1"/>
  <c r="J636" i="1"/>
  <c r="H655" i="1"/>
  <c r="D28" i="10"/>
  <c r="I671" i="1"/>
  <c r="C7" i="10" s="1"/>
  <c r="I666" i="1"/>
  <c r="F671" i="1"/>
  <c r="C4" i="10" s="1"/>
  <c r="F666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<sst xmlns="http://schemas.openxmlformats.org/spreadsheetml/2006/main" count="3950" uniqueCount="912">
  <si>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</si>
  <si>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</si>
  <si>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</si>
  <si>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</si>
  <si>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</si>
  <si>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</si>
  <si>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</si>
  <si>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</si>
  <si>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</si>
  <si>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</si>
  <si>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</si>
  <si>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</si>
  <si>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</si>
  <si>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</si>
  <si>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</si>
  <si>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</si>
  <si>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</si>
  <si>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</si>
  <si>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</si>
  <si>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</si>
  <si>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</si>
  <si>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</si>
  <si>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</si>
  <si>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</si>
  <si>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</si>
  <si>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</si>
  <si>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</si>
  <si>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</si>
  <si>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</si>
  <si>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</si>
  <si>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</si>
  <si>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</si>
  <si>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</si>
  <si>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</si>
  <si>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</si>
  <si>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</si>
  <si>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</si>
  <si>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</si>
  <si>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</si>
  <si>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</si>
  <si>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</si>
  <si>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</si>
  <si>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</si>
  <si>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</si>
  <si>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</si>
  <si>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</si>
  <si>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</si>
  <si>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</si>
  <si>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</si>
  <si>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</si>
  <si>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</si>
  <si>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</si>
  <si>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</si>
  <si>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</si>
  <si>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</si>
  <si>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</si>
  <si>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</si>
  <si>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</si>
  <si>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</si>
  <si>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</si>
  <si>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</si>
  <si>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</si>
  <si>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</si>
  <si>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</si>
  <si>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</si>
  <si>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</si>
  <si>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</si>
  <si>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</si>
  <si>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</si>
  <si>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</si>
  <si>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</si>
  <si>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</si>
  <si>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</si>
  <si>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</si>
  <si>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</si>
  <si>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</si>
  <si>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</si>
  <si>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</si>
  <si>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</si>
  <si>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</si>
  <si>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</si>
  <si>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</si>
  <si>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</si>
  <si>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</si>
  <si>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</si>
  <si>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</si>
  <si>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</si>
  <si>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</si>
  <si>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</si>
  <si>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</si>
  <si>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</si>
  <si>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</si>
  <si>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</si>
  <si>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</si>
  <si>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</si>
  <si>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</si>
  <si>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</si>
  <si>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</si>
  <si>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</si>
  <si>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</si>
  <si>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</si>
  <si>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</si>
  <si>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</si>
  <si>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</si>
  <si>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</si>
  <si>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</si>
  <si>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</si>
  <si>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</si>
  <si>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</si>
  <si>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</si>
  <si>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</si>
  <si>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</si>
  <si>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</si>
  <si>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</si>
  <si>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</si>
  <si>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</si>
  <si>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</si>
  <si>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</si>
  <si>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</si>
  <si>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</si>
  <si>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</si>
  <si>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</si>
  <si>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</si>
  <si>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</si>
  <si>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</si>
  <si>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</si>
  <si>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</si>
  <si>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</si>
  <si>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</si>
  <si>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</si>
  <si>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</si>
  <si>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</si>
  <si>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</si>
  <si>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</si>
  <si>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</si>
  <si>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</si>
  <si>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</si>
  <si>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</si>
  <si>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</si>
  <si>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</si>
  <si>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</si>
  <si>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</si>
  <si>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</si>
  <si>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</si>
  <si>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</si>
  <si>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</si>
  <si>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</si>
  <si>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</si>
  <si>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</si>
  <si>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</si>
  <si>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</si>
  <si>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</si>
  <si>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</si>
  <si>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</si>
  <si>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</si>
  <si>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</si>
  <si>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</si>
  <si>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</si>
  <si>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</si>
  <si>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</si>
  <si>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</si>
  <si>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</si>
  <si>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</si>
  <si>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</si>
  <si>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</si>
  <si>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</si>
  <si>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</si>
  <si>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</si>
  <si>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</si>
  <si>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</si>
  <si>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</si>
  <si>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</si>
  <si>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</si>
  <si>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</si>
  <si>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</si>
  <si>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</si>
  <si>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</si>
  <si>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</si>
  <si>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</si>
  <si>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</si>
  <si>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</si>
  <si>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</si>
  <si>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</si>
  <si>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</si>
  <si>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</si>
  <si>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</si>
  <si>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</si>
  <si>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</si>
  <si>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</si>
  <si>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</si>
  <si>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</si>
  <si>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</si>
  <si>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</si>
  <si>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</si>
  <si>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</si>
  <si>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</si>
  <si>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</si>
  <si>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</si>
  <si>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</si>
  <si>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</si>
  <si>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</si>
  <si>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</si>
  <si>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</si>
  <si>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</si>
  <si>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</si>
  <si>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</si>
  <si>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</si>
  <si>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</si>
  <si>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</si>
  <si>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</si>
  <si>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</si>
  <si>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</si>
  <si>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</si>
  <si>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</si>
  <si>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</si>
  <si>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</si>
  <si>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</si>
  <si>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</si>
  <si>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</si>
  <si>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</si>
  <si>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</si>
  <si>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</si>
  <si>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</si>
  <si>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</si>
  <si>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</si>
  <si>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</si>
  <si>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</si>
  <si>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</si>
  <si>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</si>
  <si>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</si>
  <si>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</si>
  <si>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</si>
  <si>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</si>
  <si>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</si>
  <si>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</si>
  <si>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</si>
  <si>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</si>
  <si>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</si>
  <si>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</si>
  <si>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</si>
  <si>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</si>
  <si>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</si>
  <si>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</si>
  <si>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</si>
  <si>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</si>
  <si>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</si>
  <si>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</si>
  <si>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</si>
  <si>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</si>
  <si>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</si>
  <si>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</si>
  <si>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</si>
  <si>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</si>
  <si>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</si>
  <si>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</si>
  <si>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</si>
  <si>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</si>
  <si>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</si>
  <si>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</si>
  <si>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</si>
  <si>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</si>
  <si>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</si>
  <si>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</si>
  <si>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</si>
  <si>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</si>
  <si>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</si>
  <si>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</si>
  <si>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</si>
  <si>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</si>
  <si>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</si>
  <si>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</si>
  <si>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</si>
  <si>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</si>
  <si>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</si>
  <si>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</si>
  <si>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</si>
  <si>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</si>
  <si>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</si>
  <si>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</si>
  <si>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</si>
  <si>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</si>
  <si>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</si>
  <si>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</si>
  <si>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</si>
  <si>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</si>
  <si>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</si>
  <si>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</si>
  <si>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</si>
  <si>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</si>
  <si>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</si>
  <si>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</si>
  <si>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</si>
  <si>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</si>
  <si>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</si>
  <si>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</si>
  <si>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</si>
  <si>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</si>
  <si>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</si>
  <si>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</si>
  <si>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</si>
  <si>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</si>
  <si>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</si>
  <si>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</si>
  <si>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</si>
  <si>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</si>
  <si>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</si>
  <si>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</si>
  <si>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</si>
  <si>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</si>
  <si>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</si>
  <si>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</si>
  <si>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</si>
  <si>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</si>
  <si>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</si>
  <si>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</si>
  <si>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</si>
  <si>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</si>
  <si>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</si>
  <si>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</si>
  <si>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</si>
  <si>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</si>
  <si>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</si>
  <si>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</si>
  <si>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</si>
  <si>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</si>
  <si>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</si>
  <si>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</si>
  <si>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</si>
  <si>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</si>
  <si>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</si>
  <si>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</si>
  <si>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</si>
  <si>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</si>
  <si>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</si>
  <si>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</si>
  <si>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</si>
  <si>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</si>
  <si>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</si>
  <si>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</si>
  <si>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</si>
  <si>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</si>
  <si>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</si>
  <si>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</si>
  <si>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</si>
  <si>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</si>
  <si>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</si>
  <si>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</si>
  <si>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</si>
  <si>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</si>
  <si>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</si>
  <si>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</si>
  <si>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</si>
  <si>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</si>
  <si>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</si>
  <si>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</si>
  <si>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</si>
  <si>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</si>
  <si>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</si>
  <si>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</si>
  <si>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</si>
  <si>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</si>
  <si>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</si>
  <si>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</si>
  <si>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</si>
  <si>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</si>
  <si>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</si>
  <si>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</si>
  <si>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</si>
  <si>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</si>
  <si>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</si>
  <si>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</si>
  <si>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</si>
  <si>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</si>
  <si>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</si>
  <si>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</si>
  <si>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</si>
  <si>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</si>
  <si>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</si>
  <si>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</si>
  <si>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</si>
  <si>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</si>
  <si>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</si>
  <si>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</si>
  <si>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</si>
  <si>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</si>
  <si>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</si>
  <si>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</si>
  <si>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</si>
  <si>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</si>
  <si>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</si>
  <si>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</si>
  <si>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</si>
  <si>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</si>
  <si>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</si>
  <si>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</si>
  <si>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</si>
  <si>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</si>
  <si>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</si>
  <si>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</si>
  <si>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</si>
  <si>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</si>
  <si>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</si>
  <si>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</si>
  <si>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</si>
  <si>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</si>
  <si>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</si>
  <si>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</si>
  <si>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</si>
  <si>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</si>
  <si>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</si>
  <si>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</si>
  <si>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</si>
  <si>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</si>
  <si>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</si>
  <si>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</si>
  <si>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</si>
  <si>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</si>
  <si>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</si>
  <si>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</si>
  <si>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</si>
  <si>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</si>
  <si>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</si>
  <si>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</si>
  <si>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</si>
  <si>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</si>
  <si>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</si>
  <si>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</si>
  <si>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</si>
  <si>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</si>
  <si>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</si>
  <si>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</si>
  <si>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</si>
  <si>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</si>
  <si>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</si>
  <si>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</si>
  <si>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</si>
  <si>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</si>
  <si>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</si>
  <si>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</si>
  <si>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</si>
  <si>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</si>
  <si>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</si>
  <si>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</si>
  <si>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</si>
  <si>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</si>
  <si>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</si>
  <si>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</si>
  <si>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</si>
  <si>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</si>
  <si>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</si>
  <si>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</si>
  <si>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</si>
  <si>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</si>
  <si>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</si>
  <si>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</si>
  <si>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</si>
  <si>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</si>
  <si>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</si>
  <si>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</si>
  <si>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</si>
  <si>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</si>
  <si>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</si>
  <si>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</si>
  <si>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</si>
  <si>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</si>
  <si>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</si>
  <si>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</si>
  <si>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</si>
  <si>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</si>
  <si>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</si>
  <si>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</si>
  <si>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</si>
  <si>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</si>
  <si>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</si>
  <si>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</si>
  <si>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</si>
  <si>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</si>
  <si>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</si>
  <si>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</si>
  <si>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</si>
  <si>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</si>
  <si>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</si>
  <si>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</si>
  <si>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</si>
  <si>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</si>
  <si>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</si>
  <si>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</si>
  <si>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</si>
  <si>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</si>
  <si>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</si>
  <si>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</si>
  <si>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</si>
  <si>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</si>
  <si>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</si>
  <si>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</si>
  <si>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</si>
  <si>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</si>
  <si>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</si>
  <si>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</si>
  <si>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</si>
  <si>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</si>
  <si>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</si>
  <si>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</si>
  <si>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</si>
  <si>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</si>
  <si>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</si>
  <si>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</si>
  <si>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</si>
  <si>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</si>
  <si>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</si>
  <si>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</si>
  <si>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</si>
  <si>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</si>
  <si>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</si>
  <si>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</si>
  <si>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</si>
  <si>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</si>
  <si>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</si>
  <si>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</si>
  <si>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</si>
  <si>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</si>
  <si>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</si>
  <si>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</si>
  <si>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</si>
  <si>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</si>
  <si>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</si>
  <si>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</si>
  <si>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</si>
  <si>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</si>
  <si>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</si>
  <si>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</si>
  <si>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</si>
  <si>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</si>
  <si>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</si>
  <si>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</si>
  <si>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</si>
  <si>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</si>
  <si>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</si>
  <si>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</si>
  <si>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</si>
  <si>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</si>
  <si>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</si>
  <si>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</si>
  <si>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</si>
  <si>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</si>
  <si>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</si>
  <si>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</si>
  <si>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</si>
  <si>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</si>
  <si>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</si>
  <si>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</si>
  <si>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</si>
  <si>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</si>
  <si>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</si>
  <si>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</si>
  <si>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</si>
  <si>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</si>
  <si>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</si>
  <si>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</si>
  <si>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</si>
  <si>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</si>
  <si>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</si>
  <si>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</si>
  <si>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</si>
  <si>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</si>
  <si>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</si>
  <si>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</si>
  <si>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</si>
  <si>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</si>
  <si>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</si>
  <si>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</si>
  <si>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</si>
  <si>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</si>
  <si>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</si>
  <si>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</si>
  <si>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</si>
  <si>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</si>
  <si>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</si>
  <si>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</si>
  <si>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</si>
  <si>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</si>
  <si>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</si>
  <si>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</si>
  <si>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</si>
  <si>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</si>
  <si>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</si>
  <si>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</si>
  <si>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</si>
  <si>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</si>
  <si>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</si>
  <si>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</si>
  <si>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</si>
  <si>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</si>
  <si>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</si>
  <si>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</si>
  <si>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</si>
  <si>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</si>
  <si>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</si>
  <si>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</si>
  <si>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</si>
  <si>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</si>
  <si>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</si>
  <si>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</si>
  <si>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</si>
  <si>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</si>
  <si>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</si>
  <si>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</si>
  <si>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</si>
  <si>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</si>
  <si>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</si>
  <si>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</si>
  <si>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</si>
  <si>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</si>
  <si>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</si>
  <si>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</si>
  <si>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</si>
  <si>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</si>
  <si>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</si>
  <si>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</si>
  <si>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</si>
  <si>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</si>
  <si>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</si>
  <si>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</si>
  <si>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</si>
  <si>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</si>
  <si>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</si>
  <si>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</si>
  <si>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</si>
  <si>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</si>
  <si>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</si>
  <si>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</si>
  <si>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</si>
  <si>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</si>
  <si>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</si>
  <si>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</si>
  <si>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</si>
  <si>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</si>
  <si>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</si>
  <si>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</si>
  <si>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</si>
  <si>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</si>
  <si>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</si>
  <si>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</si>
  <si>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</si>
  <si>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</si>
  <si>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</si>
  <si>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</si>
  <si>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</si>
  <si>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</si>
  <si>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</si>
  <si>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</si>
  <si>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</si>
  <si>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</si>
  <si>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</si>
  <si>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</si>
  <si>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</si>
  <si>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</si>
  <si>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</si>
  <si>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</si>
  <si>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</si>
  <si>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</si>
  <si>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</si>
  <si>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</si>
  <si>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</si>
  <si>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</si>
  <si>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</si>
  <si>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</si>
  <si>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</si>
  <si>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</si>
  <si>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</si>
  <si>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</si>
  <si>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</si>
  <si>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</si>
  <si>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</si>
  <si>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</si>
  <si>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</si>
  <si>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</si>
  <si>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</si>
  <si>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</si>
  <si>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</si>
  <si>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</si>
  <si>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</si>
  <si>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</si>
  <si>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</si>
  <si>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</si>
  <si>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</si>
  <si>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</si>
  <si>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</si>
  <si>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</si>
  <si>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</si>
  <si>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</si>
  <si>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</si>
  <si>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</si>
  <si>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</si>
  <si>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</si>
  <si>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</si>
  <si>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</si>
  <si>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</si>
  <si>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</si>
  <si>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</si>
  <si>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</si>
  <si>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</si>
  <si>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</si>
  <si>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</si>
  <si>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</si>
  <si>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</si>
  <si>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</si>
  <si>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</si>
  <si>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</si>
  <si>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</si>
  <si>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</si>
  <si>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</si>
  <si>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</si>
  <si>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</si>
  <si>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</si>
  <si>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</si>
  <si>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</si>
  <si>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</si>
  <si>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</si>
  <si>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</si>
  <si>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</si>
  <si>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</si>
  <si>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</si>
  <si>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</si>
  <si>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</si>
  <si>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</si>
  <si>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</si>
  <si>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</si>
  <si>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</si>
  <si>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</si>
  <si>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</si>
  <si>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</si>
  <si>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</si>
  <si>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</si>
  <si>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</si>
  <si>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</si>
  <si>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</si>
  <si>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</si>
  <si>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</si>
  <si>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</si>
  <si>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</si>
  <si>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</si>
  <si>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</si>
  <si>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</si>
  <si>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</si>
  <si>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</si>
  <si>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</si>
  <si>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</si>
  <si>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</si>
  <si>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</si>
  <si>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</si>
  <si>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</si>
  <si>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</si>
  <si>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</si>
  <si>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</si>
  <si>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</si>
  <si>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</si>
  <si>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</si>
  <si>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</si>
  <si>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</si>
  <si>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</si>
  <si>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</si>
  <si>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</si>
  <si>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</si>
  <si>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</si>
  <si>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</si>
  <si>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</si>
  <si>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</si>
  <si>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</si>
  <si>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</si>
  <si>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</si>
  <si>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</si>
  <si>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</si>
  <si>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</si>
  <si>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</si>
  <si>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</si>
  <si>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</si>
  <si>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</si>
  <si>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</si>
  <si>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</si>
  <si>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</si>
  <si>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</si>
  <si>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</si>
  <si>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</si>
  <si>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</si>
  <si>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</si>
  <si>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</si>
  <si>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</si>
  <si>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</si>
  <si>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</si>
  <si>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</si>
  <si>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</si>
  <si>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</si>
  <si>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</si>
  <si>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</si>
  <si>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</si>
  <si>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</si>
  <si>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</si>
  <si>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</si>
  <si>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</si>
  <si>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</si>
  <si>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</si>
  <si>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</si>
  <si>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</si>
  <si>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</si>
  <si>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</si>
  <si>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</si>
  <si>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</si>
  <si>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</si>
  <si>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</si>
  <si>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</si>
  <si>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</si>
  <si>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</si>
  <si>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</si>
  <si>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</si>
  <si>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</si>
  <si>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</si>
  <si>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</si>
  <si>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</si>
  <si>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</si>
  <si>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</si>
  <si>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</si>
  <si>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</si>
  <si>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</si>
  <si>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</si>
  <si>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</si>
  <si>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</si>
  <si>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</si>
  <si>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</si>
  <si>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</si>
  <si>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</si>
  <si>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</si>
  <si>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</si>
  <si>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</si>
  <si>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</si>
  <si>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</si>
  <si>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</si>
  <si>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</si>
  <si>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</si>
  <si>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</si>
  <si>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</si>
  <si>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</si>
  <si>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</si>
  <si>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</si>
  <si>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</si>
  <si>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</si>
  <si>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</si>
  <si>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</si>
  <si>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</si>
  <si>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</si>
  <si>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</si>
  <si>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</si>
  <si>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</si>
  <si>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</si>
  <si>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</si>
  <si>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</si>
  <si>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</si>
  <si>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</si>
  <si>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</si>
  <si>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</si>
  <si>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</si>
  <si>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</si>
  <si>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</si>
  <si>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</si>
  <si>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</si>
  <si>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</si>
  <si>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</si>
  <si>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</si>
  <si>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</si>
  <si>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</si>
  <si>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</si>
  <si>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</si>
  <si>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</si>
  <si>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</si>
  <si>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</si>
  <si>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</si>
  <si>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</si>
  <si>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</si>
  <si>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</si>
  <si>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</si>
  <si>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</si>
  <si>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</si>
  <si>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</si>
  <si>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</si>
  <si>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</si>
  <si>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</si>
  <si>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</si>
  <si>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</si>
  <si>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</si>
  <si>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</si>
  <si>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</si>
  <si>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</si>
  <si>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</si>
  <si>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</si>
  <si>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</si>
  <si>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</si>
  <si>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</si>
  <si>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</si>
  <si>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</si>
  <si>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</si>
  <si>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</si>
  <si>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</si>
  <si>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</si>
  <si>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</si>
  <si>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</si>
  <si>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</si>
  <si>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</si>
  <si>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</si>
  <si>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</si>
  <si>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08/03</t>
  </si>
  <si>
    <t>08/23</t>
  </si>
  <si>
    <t>Winchester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</si>
</sst>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9" fontId="2" fillId="0" borderId="0" xfId="0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577" activePane="bottomRight" state="frozen"/>
      <selection pane="topRight" activeCell="F1" sqref="F1"/>
      <selection pane="bottomLeft" activeCell="A4" sqref="A4"/>
      <selection pane="bottomRight" activeCell="A647" sqref="A647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911</v>
      </c>
      <c r="B2" s="21">
        <v>573</v>
      </c>
      <c r="C2" s="21">
        <v>573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595338.02</v>
      </c>
      <c r="G9" s="18">
        <v>11476.92</v>
      </c>
      <c r="H9" s="18"/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0</v>
      </c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290365.21999999997</v>
      </c>
      <c r="G12" s="18">
        <v>58060.84</v>
      </c>
      <c r="H12" s="18">
        <v>1392.03</v>
      </c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238380.21</v>
      </c>
      <c r="G13" s="18">
        <v>11994.72</v>
      </c>
      <c r="H13" s="18">
        <v>238380.21</v>
      </c>
      <c r="I13" s="18"/>
      <c r="J13" s="67">
        <f>SUM(I441)</f>
        <v>215359.99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11590.82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7710.83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1135674.27</v>
      </c>
      <c r="G19" s="41">
        <f>SUM(G9:G18)</f>
        <v>89243.31</v>
      </c>
      <c r="H19" s="41">
        <f>SUM(H9:H18)</f>
        <v>239772.24</v>
      </c>
      <c r="I19" s="41">
        <f>SUM(I9:I18)</f>
        <v>0</v>
      </c>
      <c r="J19" s="41">
        <f>SUM(J9:J18)</f>
        <v>215359.99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324661.43</v>
      </c>
      <c r="G28" s="18">
        <v>3343.34</v>
      </c>
      <c r="H28" s="18">
        <v>13557.66</v>
      </c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89051.83</v>
      </c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324661.43</v>
      </c>
      <c r="G32" s="41">
        <f>SUM(G22:G31)</f>
        <v>3343.34</v>
      </c>
      <c r="H32" s="41">
        <f>SUM(H22:H31)</f>
        <v>102609.49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v>85899.97</v>
      </c>
      <c r="H47" s="18">
        <v>137162.75</v>
      </c>
      <c r="I47" s="18"/>
      <c r="J47" s="13">
        <f>SUM(I458)</f>
        <v>0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v>324661.43</v>
      </c>
      <c r="G48" s="18"/>
      <c r="H48" s="18"/>
      <c r="I48" s="18"/>
      <c r="J48" s="13">
        <f>I453</f>
        <v>215359.99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486351.41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811012.84</v>
      </c>
      <c r="G50" s="41">
        <f>SUM(G35:G49)</f>
        <v>85899.97</v>
      </c>
      <c r="H50" s="41">
        <f>SUM(H35:H49)</f>
        <v>137162.75</v>
      </c>
      <c r="I50" s="41">
        <f>SUM(I35:I49)</f>
        <v>0</v>
      </c>
      <c r="J50" s="41">
        <f>SUM(J35:J49)</f>
        <v>215359.99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1135674.27</v>
      </c>
      <c r="G51" s="41">
        <f>G50+G32</f>
        <v>89243.31</v>
      </c>
      <c r="H51" s="41">
        <f>H50+H32</f>
        <v>239772.24</v>
      </c>
      <c r="I51" s="41">
        <f>I50+I32</f>
        <v>0</v>
      </c>
      <c r="J51" s="41">
        <f>J50+J32</f>
        <v>215359.99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4946188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4946188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11015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>
        <v>21485.93</v>
      </c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11015</v>
      </c>
      <c r="G78" s="45" t="s">
        <v>289</v>
      </c>
      <c r="H78" s="41">
        <f>SUM(H62:H77)</f>
        <v>21485.93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/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82.76</v>
      </c>
      <c r="G95" s="18">
        <v>0</v>
      </c>
      <c r="H95" s="18"/>
      <c r="I95" s="18"/>
      <c r="J95" s="18">
        <v>34.119999999999997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46038.35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 t="s">
        <v>287</v>
      </c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v>6334.97</v>
      </c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>
        <v>88353.25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128302.1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128384.86</v>
      </c>
      <c r="G110" s="41">
        <f>SUM(G95:G109)</f>
        <v>46038.35</v>
      </c>
      <c r="H110" s="41">
        <f>SUM(H95:H109)</f>
        <v>94688.22</v>
      </c>
      <c r="I110" s="41">
        <f>SUM(I95:I109)</f>
        <v>0</v>
      </c>
      <c r="J110" s="41">
        <f>SUM(J95:J109)</f>
        <v>34.119999999999997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5085587.8600000003</v>
      </c>
      <c r="G111" s="41">
        <f>G59+G110</f>
        <v>46038.35</v>
      </c>
      <c r="H111" s="41">
        <f>H59+H78+H93+H110</f>
        <v>116174.15</v>
      </c>
      <c r="I111" s="41">
        <f>I59+I110</f>
        <v>0</v>
      </c>
      <c r="J111" s="41">
        <f>J59+J110</f>
        <v>34.119999999999997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f>4162026.16-106464.03</f>
        <v>4055562.1300000004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576228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3513.87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4635304.0000000009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61928.17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356027.92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3948.37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417956.08999999997</v>
      </c>
      <c r="G135" s="41">
        <f>SUM(G122:G134)</f>
        <v>3948.37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5053260.0900000008</v>
      </c>
      <c r="G139" s="41">
        <f>G120+SUM(G135:G136)</f>
        <v>3948.37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v>102950.16</v>
      </c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102950.16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299320.21000000002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249089.6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183680.98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147148.59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83675.81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83675.81</v>
      </c>
      <c r="G161" s="41">
        <f>SUM(G149:G160)</f>
        <v>183680.98</v>
      </c>
      <c r="H161" s="41">
        <f>SUM(H149:H160)</f>
        <v>695558.4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186625.97</v>
      </c>
      <c r="G168" s="41">
        <f>G146+G161+SUM(G162:G167)</f>
        <v>183680.98</v>
      </c>
      <c r="H168" s="41">
        <f>H146+H161+SUM(H162:H167)</f>
        <v>695558.4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200000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200000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200000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10525473.920000002</v>
      </c>
      <c r="G192" s="47">
        <f>G111+G139+G168+G191</f>
        <v>233667.7</v>
      </c>
      <c r="H192" s="47">
        <f>H111+H139+H168+H191</f>
        <v>811732.55</v>
      </c>
      <c r="I192" s="47">
        <f>I111+I139+I168+I191</f>
        <v>0</v>
      </c>
      <c r="J192" s="47">
        <f>J111+J139+J191</f>
        <v>34.119999999999997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1010363.36+29582.81+31067.42</f>
        <v>1071013.5900000001</v>
      </c>
      <c r="G196" s="18">
        <f>505.09+404592.95+27990.63+79127.71+112525.93</f>
        <v>624742.31000000006</v>
      </c>
      <c r="H196" s="18">
        <v>6000</v>
      </c>
      <c r="I196" s="18">
        <v>51280.84</v>
      </c>
      <c r="J196" s="18"/>
      <c r="K196" s="18">
        <v>197</v>
      </c>
      <c r="L196" s="19">
        <f>SUM(F196:K196)</f>
        <v>1753233.7400000002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33000+317534.25+19600.03+571790.64+199.74+90466.71+3960</f>
        <v>1036551.37</v>
      </c>
      <c r="G197" s="18">
        <f>8944.02+95403.14+529.34+6341.19+3969.4+67300.72+4767.77+35881.18+398.48</f>
        <v>223535.24</v>
      </c>
      <c r="H197" s="18">
        <f>467+155686.84+2378.21+2602.01+217794.66</f>
        <v>378928.72</v>
      </c>
      <c r="I197" s="18">
        <f>79.95+179.69+2270.6+329.9</f>
        <v>2860.14</v>
      </c>
      <c r="J197" s="18"/>
      <c r="K197" s="18"/>
      <c r="L197" s="19">
        <f>SUM(F197:K197)</f>
        <v>1641875.4699999997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f>7200+17548.82</f>
        <v>24748.82</v>
      </c>
      <c r="G199" s="18">
        <v>5129.97</v>
      </c>
      <c r="H199" s="18"/>
      <c r="I199" s="18">
        <v>141.96</v>
      </c>
      <c r="J199" s="18"/>
      <c r="K199" s="18"/>
      <c r="L199" s="19">
        <f>SUM(F199:K199)</f>
        <v>30020.75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73298.06+29834.64+33124.1+46653.03+55060</f>
        <v>237969.83</v>
      </c>
      <c r="G201" s="18">
        <f>42334.67+12937.54+18085.6+8534.77+33147.67</f>
        <v>115040.25</v>
      </c>
      <c r="H201" s="18">
        <f>17871.67+26840.62</f>
        <v>44712.289999999994</v>
      </c>
      <c r="I201" s="18">
        <v>1684.23</v>
      </c>
      <c r="J201" s="18"/>
      <c r="K201" s="18">
        <v>250</v>
      </c>
      <c r="L201" s="19">
        <f t="shared" ref="L201:L207" si="0">SUM(F201:K201)</f>
        <v>399656.59999999992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53337+3485</f>
        <v>56822</v>
      </c>
      <c r="G202" s="18">
        <v>10373.9</v>
      </c>
      <c r="H202" s="18">
        <v>16618.87</v>
      </c>
      <c r="I202" s="18">
        <v>3671.85</v>
      </c>
      <c r="J202" s="18"/>
      <c r="K202" s="18"/>
      <c r="L202" s="19">
        <f t="shared" si="0"/>
        <v>87486.62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2800+4100+3991.86+69999.98+5000.02+29399.97</f>
        <v>115291.83</v>
      </c>
      <c r="G203" s="18">
        <f>527.87+14921.13+367.11+887.86+22.87+14180.2+7566.09+378.61+9009.85+453.32</f>
        <v>48314.91</v>
      </c>
      <c r="H203" s="18">
        <f>7942.6+7621.23+12136+84+22148.46+1278.75+830.69+44804.77</f>
        <v>96846.5</v>
      </c>
      <c r="I203" s="18">
        <f>541.79+1228.52+3818.54+32</f>
        <v>5620.85</v>
      </c>
      <c r="J203" s="18"/>
      <c r="K203" s="18">
        <f>3799.06+923.65+388.59+648.41+2514+3028.79</f>
        <v>11302.5</v>
      </c>
      <c r="L203" s="19">
        <f t="shared" si="0"/>
        <v>277376.58999999997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f>32350+149897.6+18602.76</f>
        <v>200850.36000000002</v>
      </c>
      <c r="G204" s="18">
        <f>58183.2+4236.78+2474.78+12527.44+1680.8+4512.83+17292.52</f>
        <v>100908.35</v>
      </c>
      <c r="H204" s="18">
        <f>264.58+638</f>
        <v>902.57999999999993</v>
      </c>
      <c r="I204" s="18">
        <f>3294.57+1077.37+134.95</f>
        <v>4506.8900000000003</v>
      </c>
      <c r="J204" s="18"/>
      <c r="K204" s="18"/>
      <c r="L204" s="19">
        <f t="shared" si="0"/>
        <v>307168.18000000005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f>51100+33621.04</f>
        <v>84721.040000000008</v>
      </c>
      <c r="G205" s="18">
        <f>481.98+6477.01+3044.54</f>
        <v>10003.529999999999</v>
      </c>
      <c r="H205" s="18"/>
      <c r="I205" s="18"/>
      <c r="J205" s="18"/>
      <c r="K205" s="18"/>
      <c r="L205" s="19">
        <f t="shared" si="0"/>
        <v>94724.57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162412.74</v>
      </c>
      <c r="G206" s="18">
        <v>112386.96</v>
      </c>
      <c r="H206" s="18">
        <f>10204+14629.05+51540.88+7065.4+20692.51</f>
        <v>104131.83999999998</v>
      </c>
      <c r="I206" s="18">
        <f>176888.14+2761.8</f>
        <v>179649.94</v>
      </c>
      <c r="J206" s="18">
        <v>10639.15</v>
      </c>
      <c r="K206" s="18"/>
      <c r="L206" s="19">
        <f t="shared" si="0"/>
        <v>569220.63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3540</v>
      </c>
      <c r="G207" s="18">
        <v>270.81</v>
      </c>
      <c r="H207" s="18">
        <v>368674.7</v>
      </c>
      <c r="I207" s="18"/>
      <c r="J207" s="18"/>
      <c r="K207" s="18"/>
      <c r="L207" s="19">
        <f t="shared" si="0"/>
        <v>372485.51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75000</v>
      </c>
      <c r="G208" s="18">
        <v>23892.73</v>
      </c>
      <c r="H208" s="18">
        <v>47676.86</v>
      </c>
      <c r="I208" s="18">
        <v>24702.33</v>
      </c>
      <c r="J208" s="18">
        <v>17550.37</v>
      </c>
      <c r="K208" s="18"/>
      <c r="L208" s="19">
        <f>SUM(F208:K208)</f>
        <v>188822.28999999998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3068921.58</v>
      </c>
      <c r="G210" s="41">
        <f t="shared" si="1"/>
        <v>1274598.9600000002</v>
      </c>
      <c r="H210" s="41">
        <f t="shared" si="1"/>
        <v>1064492.3599999999</v>
      </c>
      <c r="I210" s="41">
        <f t="shared" si="1"/>
        <v>274119.03000000003</v>
      </c>
      <c r="J210" s="41">
        <f t="shared" si="1"/>
        <v>28189.519999999997</v>
      </c>
      <c r="K210" s="41">
        <f t="shared" si="1"/>
        <v>11749.5</v>
      </c>
      <c r="L210" s="41">
        <f t="shared" si="1"/>
        <v>5722070.9500000002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1376964.42</v>
      </c>
      <c r="I232" s="18"/>
      <c r="J232" s="18"/>
      <c r="K232" s="18"/>
      <c r="L232" s="19">
        <f>SUM(F232:K232)</f>
        <v>1376964.42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1859434.42</v>
      </c>
      <c r="I233" s="18"/>
      <c r="J233" s="18"/>
      <c r="K233" s="18"/>
      <c r="L233" s="19">
        <f>SUM(F233:K233)</f>
        <v>1859434.42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158003.51999999999</v>
      </c>
      <c r="I243" s="18"/>
      <c r="J243" s="18"/>
      <c r="K243" s="18"/>
      <c r="L243" s="19">
        <f t="shared" si="4"/>
        <v>158003.51999999999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3394402.36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3394402.36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3068921.58</v>
      </c>
      <c r="G256" s="41">
        <f t="shared" si="8"/>
        <v>1274598.9600000002</v>
      </c>
      <c r="H256" s="41">
        <f t="shared" si="8"/>
        <v>4458894.72</v>
      </c>
      <c r="I256" s="41">
        <f t="shared" si="8"/>
        <v>274119.03000000003</v>
      </c>
      <c r="J256" s="41">
        <f t="shared" si="8"/>
        <v>28189.519999999997</v>
      </c>
      <c r="K256" s="41">
        <f t="shared" si="8"/>
        <v>11749.5</v>
      </c>
      <c r="L256" s="41">
        <f t="shared" si="8"/>
        <v>9116473.3100000005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175000</v>
      </c>
      <c r="L259" s="19">
        <f>SUM(F259:K259)</f>
        <v>175000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96181</v>
      </c>
      <c r="L260" s="19">
        <f>SUM(F260:K260)</f>
        <v>96181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271181</v>
      </c>
      <c r="L269" s="41">
        <f t="shared" si="9"/>
        <v>271181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3068921.58</v>
      </c>
      <c r="G270" s="42">
        <f t="shared" si="11"/>
        <v>1274598.9600000002</v>
      </c>
      <c r="H270" s="42">
        <f t="shared" si="11"/>
        <v>4458894.72</v>
      </c>
      <c r="I270" s="42">
        <f t="shared" si="11"/>
        <v>274119.03000000003</v>
      </c>
      <c r="J270" s="42">
        <f t="shared" si="11"/>
        <v>28189.519999999997</v>
      </c>
      <c r="K270" s="42">
        <f t="shared" si="11"/>
        <v>282930.5</v>
      </c>
      <c r="L270" s="42">
        <f t="shared" si="11"/>
        <v>9387654.3100000005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299353.18</v>
      </c>
      <c r="G275" s="18">
        <v>87384.29</v>
      </c>
      <c r="H275" s="18">
        <v>1314.04</v>
      </c>
      <c r="I275" s="18">
        <v>689.07</v>
      </c>
      <c r="J275" s="18"/>
      <c r="K275" s="18"/>
      <c r="L275" s="19">
        <f>SUM(F275:K275)</f>
        <v>388740.57999999996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48571.43</v>
      </c>
      <c r="G276" s="18">
        <v>36194.9</v>
      </c>
      <c r="H276" s="18">
        <v>885.5</v>
      </c>
      <c r="I276" s="18">
        <v>13973.37</v>
      </c>
      <c r="J276" s="18"/>
      <c r="K276" s="18"/>
      <c r="L276" s="19">
        <f>SUM(F276:K276)</f>
        <v>99625.2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68563.66</v>
      </c>
      <c r="G278" s="18">
        <v>5976.21</v>
      </c>
      <c r="H278" s="18">
        <v>17375.599999999999</v>
      </c>
      <c r="I278" s="18">
        <v>22675.4</v>
      </c>
      <c r="J278" s="18">
        <v>3087.9</v>
      </c>
      <c r="K278" s="18"/>
      <c r="L278" s="19">
        <f>SUM(F278:K278)</f>
        <v>117678.76999999999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33123.9</v>
      </c>
      <c r="G280" s="18">
        <v>18084.77</v>
      </c>
      <c r="H280" s="18">
        <v>1761.8</v>
      </c>
      <c r="I280" s="18"/>
      <c r="J280" s="18"/>
      <c r="K280" s="18"/>
      <c r="L280" s="19">
        <f t="shared" ref="L280:L286" si="12">SUM(F280:K280)</f>
        <v>52970.47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97523.62</v>
      </c>
      <c r="G281" s="18">
        <v>11368.24</v>
      </c>
      <c r="H281" s="18">
        <v>90472.12</v>
      </c>
      <c r="I281" s="18">
        <v>2760.67</v>
      </c>
      <c r="J281" s="18">
        <v>20399</v>
      </c>
      <c r="K281" s="18"/>
      <c r="L281" s="19">
        <f t="shared" si="12"/>
        <v>222523.65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>
        <v>165.75</v>
      </c>
      <c r="I282" s="18"/>
      <c r="J282" s="18"/>
      <c r="K282" s="18"/>
      <c r="L282" s="19">
        <f t="shared" si="12"/>
        <v>165.75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>
        <f>774.08+5073.08</f>
        <v>5847.16</v>
      </c>
      <c r="I287" s="18"/>
      <c r="J287" s="18">
        <v>6000</v>
      </c>
      <c r="K287" s="18"/>
      <c r="L287" s="19">
        <f>SUM(F287:K287)</f>
        <v>11847.16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547135.79</v>
      </c>
      <c r="G289" s="42">
        <f t="shared" si="13"/>
        <v>159008.41</v>
      </c>
      <c r="H289" s="42">
        <f t="shared" si="13"/>
        <v>117821.97</v>
      </c>
      <c r="I289" s="42">
        <f t="shared" si="13"/>
        <v>40098.51</v>
      </c>
      <c r="J289" s="42">
        <f t="shared" si="13"/>
        <v>29486.9</v>
      </c>
      <c r="K289" s="42">
        <f t="shared" si="13"/>
        <v>0</v>
      </c>
      <c r="L289" s="41">
        <f t="shared" si="13"/>
        <v>893551.58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547135.79</v>
      </c>
      <c r="G337" s="41">
        <f t="shared" si="20"/>
        <v>159008.41</v>
      </c>
      <c r="H337" s="41">
        <f t="shared" si="20"/>
        <v>117821.97</v>
      </c>
      <c r="I337" s="41">
        <f t="shared" si="20"/>
        <v>40098.51</v>
      </c>
      <c r="J337" s="41">
        <f t="shared" si="20"/>
        <v>29486.9</v>
      </c>
      <c r="K337" s="41">
        <f t="shared" si="20"/>
        <v>0</v>
      </c>
      <c r="L337" s="41">
        <f t="shared" si="20"/>
        <v>893551.58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547135.79</v>
      </c>
      <c r="G351" s="41">
        <f>G337</f>
        <v>159008.41</v>
      </c>
      <c r="H351" s="41">
        <f>H337</f>
        <v>117821.97</v>
      </c>
      <c r="I351" s="41">
        <f>I337</f>
        <v>40098.51</v>
      </c>
      <c r="J351" s="41">
        <f>J337</f>
        <v>29486.9</v>
      </c>
      <c r="K351" s="47">
        <f>K337+K350</f>
        <v>0</v>
      </c>
      <c r="L351" s="41">
        <f>L337+L350</f>
        <v>893551.58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94123.36</v>
      </c>
      <c r="G357" s="18">
        <f>7624.5+470.2+7093.5+3258.5</f>
        <v>18446.7</v>
      </c>
      <c r="H357" s="18">
        <f>19085.3+216.65+3570+24792.11</f>
        <v>47664.06</v>
      </c>
      <c r="I357" s="18">
        <f>7456.19+98100.3+693.52</f>
        <v>106250.01000000001</v>
      </c>
      <c r="J357" s="18"/>
      <c r="K357" s="18">
        <v>551.5</v>
      </c>
      <c r="L357" s="13">
        <f>SUM(F357:K357)</f>
        <v>267035.63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94123.36</v>
      </c>
      <c r="G361" s="47">
        <f t="shared" si="22"/>
        <v>18446.7</v>
      </c>
      <c r="H361" s="47">
        <f t="shared" si="22"/>
        <v>47664.06</v>
      </c>
      <c r="I361" s="47">
        <f t="shared" si="22"/>
        <v>106250.01000000001</v>
      </c>
      <c r="J361" s="47">
        <f t="shared" si="22"/>
        <v>0</v>
      </c>
      <c r="K361" s="47">
        <f t="shared" si="22"/>
        <v>551.5</v>
      </c>
      <c r="L361" s="47">
        <f t="shared" si="22"/>
        <v>267035.63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f>98100.3+693.52</f>
        <v>98793.82</v>
      </c>
      <c r="G366" s="18"/>
      <c r="H366" s="18"/>
      <c r="I366" s="56">
        <f>SUM(F366:H366)</f>
        <v>98793.82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7456.19</v>
      </c>
      <c r="G367" s="63"/>
      <c r="H367" s="63"/>
      <c r="I367" s="56">
        <f>SUM(F367:H367)</f>
        <v>7456.19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106250.01000000001</v>
      </c>
      <c r="G368" s="47">
        <f>SUM(G366:G367)</f>
        <v>0</v>
      </c>
      <c r="H368" s="47">
        <f>SUM(H366:H367)</f>
        <v>0</v>
      </c>
      <c r="I368" s="47">
        <f>SUM(I366:I367)</f>
        <v>106250.01000000001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>
        <v>21.72</v>
      </c>
      <c r="I388" s="18"/>
      <c r="J388" s="24" t="s">
        <v>289</v>
      </c>
      <c r="K388" s="24" t="s">
        <v>289</v>
      </c>
      <c r="L388" s="56">
        <f t="shared" si="25"/>
        <v>21.72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21.72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21.72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12.4</v>
      </c>
      <c r="I396" s="18"/>
      <c r="J396" s="24" t="s">
        <v>289</v>
      </c>
      <c r="K396" s="24" t="s">
        <v>289</v>
      </c>
      <c r="L396" s="56">
        <f t="shared" si="26"/>
        <v>12.4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 t="s">
        <v>287</v>
      </c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12.4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12.4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34.119999999999997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34.119999999999997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>
        <v>200000</v>
      </c>
      <c r="L422" s="56">
        <f t="shared" si="29"/>
        <v>200000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200000</v>
      </c>
      <c r="L426" s="47">
        <f t="shared" si="30"/>
        <v>200000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200000</v>
      </c>
      <c r="L433" s="47">
        <f t="shared" si="32"/>
        <v>200000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>
        <v>215359.99</v>
      </c>
      <c r="G441" s="18"/>
      <c r="H441" s="18"/>
      <c r="I441" s="56">
        <f t="shared" si="33"/>
        <v>215359.99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215359.99</v>
      </c>
      <c r="G445" s="13">
        <f>SUM(G438:G444)</f>
        <v>0</v>
      </c>
      <c r="H445" s="13">
        <f>SUM(H438:H444)</f>
        <v>0</v>
      </c>
      <c r="I445" s="13">
        <f>SUM(I438:I444)</f>
        <v>215359.99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>
        <v>215359.99</v>
      </c>
      <c r="G453" s="18"/>
      <c r="H453" s="18"/>
      <c r="I453" s="56">
        <f t="shared" ref="I453:I458" si="34">SUM(F453:H453)</f>
        <v>215359.99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/>
      <c r="H458" s="18"/>
      <c r="I458" s="56">
        <f t="shared" si="34"/>
        <v>0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215359.99</v>
      </c>
      <c r="G459" s="83">
        <f>SUM(G453:G458)</f>
        <v>0</v>
      </c>
      <c r="H459" s="83">
        <f>SUM(H453:H458)</f>
        <v>0</v>
      </c>
      <c r="I459" s="83">
        <f>SUM(I453:I458)</f>
        <v>215359.99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215359.99</v>
      </c>
      <c r="G460" s="42">
        <f>G451+G459</f>
        <v>0</v>
      </c>
      <c r="H460" s="42">
        <f>H451+H459</f>
        <v>0</v>
      </c>
      <c r="I460" s="42">
        <f>I451+I459</f>
        <v>215359.99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-326806.77</v>
      </c>
      <c r="G464" s="18">
        <v>119267.9</v>
      </c>
      <c r="H464" s="18">
        <v>218981.78</v>
      </c>
      <c r="I464" s="18"/>
      <c r="J464" s="18">
        <v>415325.87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10525473.92</v>
      </c>
      <c r="G467" s="18">
        <v>233667.7</v>
      </c>
      <c r="H467" s="18">
        <v>811732.55</v>
      </c>
      <c r="I467" s="18"/>
      <c r="J467" s="18">
        <v>34.119999999999997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10525473.92</v>
      </c>
      <c r="G469" s="53">
        <f>SUM(G467:G468)</f>
        <v>233667.7</v>
      </c>
      <c r="H469" s="53">
        <f>SUM(H467:H468)</f>
        <v>811732.55</v>
      </c>
      <c r="I469" s="53">
        <f>SUM(I467:I468)</f>
        <v>0</v>
      </c>
      <c r="J469" s="53">
        <f>SUM(J467:J468)</f>
        <v>34.119999999999997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9387654.3100000005</v>
      </c>
      <c r="G471" s="18">
        <v>267035.63</v>
      </c>
      <c r="H471" s="18">
        <v>893551.58</v>
      </c>
      <c r="I471" s="18"/>
      <c r="J471" s="18">
        <v>200000</v>
      </c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9387654.3100000005</v>
      </c>
      <c r="G473" s="53">
        <f>SUM(G471:G472)</f>
        <v>267035.63</v>
      </c>
      <c r="H473" s="53">
        <f>SUM(H471:H472)</f>
        <v>893551.58</v>
      </c>
      <c r="I473" s="53">
        <f>SUM(I471:I472)</f>
        <v>0</v>
      </c>
      <c r="J473" s="53">
        <f>SUM(J471:J472)</f>
        <v>200000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811012.83999999985</v>
      </c>
      <c r="G475" s="53">
        <f>(G464+G469)- G473</f>
        <v>85899.969999999972</v>
      </c>
      <c r="H475" s="53">
        <f>(H464+H469)- H473</f>
        <v>137162.75000000012</v>
      </c>
      <c r="I475" s="53">
        <f>(I464+I469)- I473</f>
        <v>0</v>
      </c>
      <c r="J475" s="53">
        <f>(J464+J469)- J473</f>
        <v>215359.99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910</v>
      </c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3504725</v>
      </c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271">
        <v>0.05</v>
      </c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2275000</v>
      </c>
      <c r="G494" s="18"/>
      <c r="H494" s="18"/>
      <c r="I494" s="18"/>
      <c r="J494" s="18"/>
      <c r="K494" s="53">
        <f>SUM(F494:J494)</f>
        <v>2275000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 t="s">
        <v>287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175000</v>
      </c>
      <c r="G496" s="18"/>
      <c r="H496" s="18"/>
      <c r="I496" s="18"/>
      <c r="J496" s="18"/>
      <c r="K496" s="53">
        <f t="shared" si="35"/>
        <v>175000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2100000</v>
      </c>
      <c r="G497" s="205"/>
      <c r="H497" s="205"/>
      <c r="I497" s="205"/>
      <c r="J497" s="205"/>
      <c r="K497" s="206">
        <f t="shared" si="35"/>
        <v>2100000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573194</v>
      </c>
      <c r="G498" s="18"/>
      <c r="H498" s="18"/>
      <c r="I498" s="18"/>
      <c r="J498" s="18"/>
      <c r="K498" s="53">
        <f t="shared" si="35"/>
        <v>573194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2673194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2673194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175000</v>
      </c>
      <c r="G500" s="205"/>
      <c r="H500" s="205"/>
      <c r="I500" s="205"/>
      <c r="J500" s="205"/>
      <c r="K500" s="206">
        <f t="shared" si="35"/>
        <v>175000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87432</v>
      </c>
      <c r="G501" s="18"/>
      <c r="H501" s="18"/>
      <c r="I501" s="18"/>
      <c r="J501" s="18"/>
      <c r="K501" s="53">
        <f t="shared" si="35"/>
        <v>87432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262432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262432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1036551.37</v>
      </c>
      <c r="G520" s="18">
        <v>223535.24</v>
      </c>
      <c r="H520" s="18">
        <v>135808.35999999999</v>
      </c>
      <c r="I520" s="18"/>
      <c r="J520" s="18"/>
      <c r="K520" s="18"/>
      <c r="L520" s="88">
        <f>SUM(F520:K520)</f>
        <v>1395894.9699999997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v>2077229.08</v>
      </c>
      <c r="I522" s="18"/>
      <c r="J522" s="18"/>
      <c r="K522" s="18"/>
      <c r="L522" s="88">
        <f>SUM(F522:K522)</f>
        <v>2077229.08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1036551.37</v>
      </c>
      <c r="G523" s="108">
        <f t="shared" ref="G523:L523" si="36">SUM(G520:G522)</f>
        <v>223535.24</v>
      </c>
      <c r="H523" s="108">
        <f t="shared" si="36"/>
        <v>2213037.44</v>
      </c>
      <c r="I523" s="108">
        <f t="shared" si="36"/>
        <v>0</v>
      </c>
      <c r="J523" s="108">
        <f t="shared" si="36"/>
        <v>0</v>
      </c>
      <c r="K523" s="108">
        <f t="shared" si="36"/>
        <v>0</v>
      </c>
      <c r="L523" s="89">
        <f t="shared" si="36"/>
        <v>3473124.05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v>71077.61</v>
      </c>
      <c r="I525" s="18"/>
      <c r="J525" s="18"/>
      <c r="K525" s="18"/>
      <c r="L525" s="88">
        <f>SUM(F525:K525)</f>
        <v>71077.61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>
        <f>155686.84-71077.61</f>
        <v>84609.23</v>
      </c>
      <c r="I527" s="18"/>
      <c r="J527" s="18"/>
      <c r="K527" s="18"/>
      <c r="L527" s="88">
        <f>SUM(F527:K527)</f>
        <v>84609.23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155686.84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155686.84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>
        <v>36294.019999999997</v>
      </c>
      <c r="I530" s="18"/>
      <c r="J530" s="18"/>
      <c r="K530" s="18"/>
      <c r="L530" s="88">
        <f>SUM(F530:K530)</f>
        <v>36294.019999999997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>
        <f>52600.03-36294.02</f>
        <v>16306.010000000002</v>
      </c>
      <c r="I532" s="18"/>
      <c r="J532" s="18"/>
      <c r="K532" s="18"/>
      <c r="L532" s="88">
        <f>SUM(F532:K532)</f>
        <v>16306.010000000002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52600.03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52600.03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2378.21</v>
      </c>
      <c r="I535" s="18"/>
      <c r="J535" s="18"/>
      <c r="K535" s="18"/>
      <c r="L535" s="88">
        <f>SUM(F535:K535)</f>
        <v>2378.21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2378.21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2378.21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211228.73</v>
      </c>
      <c r="I540" s="18"/>
      <c r="J540" s="18"/>
      <c r="K540" s="18"/>
      <c r="L540" s="88">
        <f>SUM(F540:K540)</f>
        <v>211228.73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f>306128.6-211228.73</f>
        <v>94899.869999999966</v>
      </c>
      <c r="I542" s="18"/>
      <c r="J542" s="18"/>
      <c r="K542" s="18"/>
      <c r="L542" s="88">
        <f>SUM(F542:K542)</f>
        <v>94899.869999999966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306128.59999999998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306128.59999999998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1036551.37</v>
      </c>
      <c r="G544" s="89">
        <f t="shared" ref="G544:L544" si="41">G523+G528+G533+G538+G543</f>
        <v>223535.24</v>
      </c>
      <c r="H544" s="89">
        <f t="shared" si="41"/>
        <v>2729831.1199999996</v>
      </c>
      <c r="I544" s="89">
        <f t="shared" si="41"/>
        <v>0</v>
      </c>
      <c r="J544" s="89">
        <f t="shared" si="41"/>
        <v>0</v>
      </c>
      <c r="K544" s="89">
        <f t="shared" si="41"/>
        <v>0</v>
      </c>
      <c r="L544" s="89">
        <f t="shared" si="41"/>
        <v>3989917.7299999995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1395894.9699999997</v>
      </c>
      <c r="G548" s="87">
        <f>L525</f>
        <v>71077.61</v>
      </c>
      <c r="H548" s="87">
        <f>L530</f>
        <v>36294.019999999997</v>
      </c>
      <c r="I548" s="87">
        <f>L535</f>
        <v>2378.21</v>
      </c>
      <c r="J548" s="87">
        <f>L540</f>
        <v>211228.73</v>
      </c>
      <c r="K548" s="87">
        <f>SUM(F548:J548)</f>
        <v>1716873.5399999998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2077229.08</v>
      </c>
      <c r="G550" s="87">
        <f>L527</f>
        <v>84609.23</v>
      </c>
      <c r="H550" s="87">
        <f>L532</f>
        <v>16306.010000000002</v>
      </c>
      <c r="I550" s="87">
        <f>L537</f>
        <v>0</v>
      </c>
      <c r="J550" s="87">
        <f>L542</f>
        <v>94899.869999999966</v>
      </c>
      <c r="K550" s="87">
        <f>SUM(F550:J550)</f>
        <v>2273044.19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3473124.05</v>
      </c>
      <c r="G551" s="89">
        <f t="shared" si="42"/>
        <v>155686.84</v>
      </c>
      <c r="H551" s="89">
        <f t="shared" si="42"/>
        <v>52600.03</v>
      </c>
      <c r="I551" s="89">
        <f t="shared" si="42"/>
        <v>2378.21</v>
      </c>
      <c r="J551" s="89">
        <f t="shared" si="42"/>
        <v>306128.59999999998</v>
      </c>
      <c r="K551" s="89">
        <f t="shared" si="42"/>
        <v>3989917.7299999995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1376964.42</v>
      </c>
      <c r="I574" s="87">
        <f>SUM(F574:H574)</f>
        <v>1376964.42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31870.99</v>
      </c>
      <c r="G578" s="18"/>
      <c r="H578" s="18">
        <v>1425612.5</v>
      </c>
      <c r="I578" s="87">
        <f t="shared" si="47"/>
        <v>1457483.49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185923.67</v>
      </c>
      <c r="G581" s="18"/>
      <c r="H581" s="18">
        <v>433821.92</v>
      </c>
      <c r="I581" s="87">
        <f t="shared" si="47"/>
        <v>619745.59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367039.78</v>
      </c>
      <c r="I590" s="18"/>
      <c r="J590" s="18">
        <v>64176.57</v>
      </c>
      <c r="K590" s="104">
        <f t="shared" ref="K590:K596" si="48">SUM(H590:J590)</f>
        <v>431216.35000000003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/>
      <c r="J591" s="18">
        <f>158003.52-64176.57</f>
        <v>93826.949999999983</v>
      </c>
      <c r="K591" s="104">
        <f t="shared" si="48"/>
        <v>93826.949999999983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970.06</v>
      </c>
      <c r="I593" s="18"/>
      <c r="J593" s="18"/>
      <c r="K593" s="104">
        <f t="shared" si="48"/>
        <v>970.06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664.86</v>
      </c>
      <c r="I594" s="18"/>
      <c r="J594" s="18"/>
      <c r="K594" s="104">
        <f t="shared" si="48"/>
        <v>664.86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>
        <f>3540+270.81</f>
        <v>3810.81</v>
      </c>
      <c r="I596" s="18"/>
      <c r="J596" s="18"/>
      <c r="K596" s="104">
        <f t="shared" si="48"/>
        <v>3810.81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372485.51</v>
      </c>
      <c r="I597" s="108">
        <f>SUM(I590:I596)</f>
        <v>0</v>
      </c>
      <c r="J597" s="108">
        <f>SUM(J590:J596)</f>
        <v>158003.51999999999</v>
      </c>
      <c r="K597" s="108">
        <f>SUM(K590:K596)</f>
        <v>530489.03000000014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 t="s">
        <v>287</v>
      </c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 t="s">
        <v>287</v>
      </c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28189.52+29486.9</f>
        <v>57676.42</v>
      </c>
      <c r="I603" s="18"/>
      <c r="J603" s="18"/>
      <c r="K603" s="104">
        <f>SUM(H603:J603)</f>
        <v>57676.42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57676.42</v>
      </c>
      <c r="I604" s="108">
        <f>SUM(I601:I603)</f>
        <v>0</v>
      </c>
      <c r="J604" s="108">
        <f>SUM(J601:J603)</f>
        <v>0</v>
      </c>
      <c r="K604" s="108">
        <f>SUM(K601:K603)</f>
        <v>57676.42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1135674.27</v>
      </c>
      <c r="H616" s="109">
        <f>SUM(F51)</f>
        <v>1135674.27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89243.31</v>
      </c>
      <c r="H617" s="109">
        <f>SUM(G51)</f>
        <v>89243.31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239772.24</v>
      </c>
      <c r="H618" s="109">
        <f>SUM(H51)</f>
        <v>239772.24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215359.99</v>
      </c>
      <c r="H620" s="109">
        <f>SUM(J51)</f>
        <v>215359.99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811012.84</v>
      </c>
      <c r="H621" s="109">
        <f>F475</f>
        <v>811012.83999999985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85899.97</v>
      </c>
      <c r="H622" s="109">
        <f>G475</f>
        <v>85899.969999999972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137162.75</v>
      </c>
      <c r="H623" s="109">
        <f>H475</f>
        <v>137162.75000000012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215359.99</v>
      </c>
      <c r="H625" s="109">
        <f>J475</f>
        <v>215359.99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10525473.920000002</v>
      </c>
      <c r="H626" s="104">
        <f>SUM(F467)</f>
        <v>10525473.92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233667.7</v>
      </c>
      <c r="H627" s="104">
        <f>SUM(G467)</f>
        <v>233667.7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811732.55</v>
      </c>
      <c r="H628" s="104">
        <f>SUM(H467)</f>
        <v>811732.55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34.119999999999997</v>
      </c>
      <c r="H630" s="104">
        <f>SUM(J467)</f>
        <v>34.119999999999997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9387654.3100000005</v>
      </c>
      <c r="H631" s="104">
        <f>SUM(F471)</f>
        <v>9387654.3100000005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893551.58</v>
      </c>
      <c r="H632" s="104">
        <f>SUM(H471)</f>
        <v>893551.58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106250.01000000001</v>
      </c>
      <c r="H633" s="104">
        <f>I368</f>
        <v>106250.01000000001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267035.63</v>
      </c>
      <c r="H634" s="104">
        <f>SUM(G471)</f>
        <v>267035.63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34.119999999999997</v>
      </c>
      <c r="H636" s="164">
        <f>SUM(J467)</f>
        <v>34.119999999999997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200000</v>
      </c>
      <c r="H637" s="164">
        <f>SUM(J471)</f>
        <v>200000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215359.99</v>
      </c>
      <c r="H638" s="104">
        <f>SUM(F460)</f>
        <v>215359.99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215359.99</v>
      </c>
      <c r="H641" s="104">
        <f>SUM(I460)</f>
        <v>215359.99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34.119999999999997</v>
      </c>
      <c r="H643" s="104">
        <f>H407</f>
        <v>34.119999999999997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34.119999999999997</v>
      </c>
      <c r="H645" s="104">
        <f>L407</f>
        <v>34.119999999999997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530489.03000000014</v>
      </c>
      <c r="H646" s="104">
        <f>L207+L225+L243</f>
        <v>530489.03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57676.42</v>
      </c>
      <c r="H647" s="104">
        <f>(J256+J337)-(J254+J335)</f>
        <v>57676.42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372485.51</v>
      </c>
      <c r="H648" s="104">
        <f>H597</f>
        <v>372485.51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158003.51999999999</v>
      </c>
      <c r="H650" s="104">
        <f>J597</f>
        <v>158003.51999999999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6882658.1600000001</v>
      </c>
      <c r="G659" s="19">
        <f>(L228+L308+L358)</f>
        <v>0</v>
      </c>
      <c r="H659" s="19">
        <f>(L246+L327+L359)</f>
        <v>3394402.36</v>
      </c>
      <c r="I659" s="19">
        <f>SUM(F659:H659)</f>
        <v>10277060.52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46038.35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46038.35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372485.51</v>
      </c>
      <c r="G661" s="19">
        <f>(L225+L305)-(J225+J305)</f>
        <v>0</v>
      </c>
      <c r="H661" s="19">
        <f>(L243+L324)-(J243+J324)</f>
        <v>158003.51999999999</v>
      </c>
      <c r="I661" s="19">
        <f>SUM(F661:H661)</f>
        <v>530489.03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275471.08</v>
      </c>
      <c r="G662" s="200">
        <f>SUM(G574:G586)+SUM(I601:I603)+L611</f>
        <v>0</v>
      </c>
      <c r="H662" s="200">
        <f>SUM(H574:H586)+SUM(J601:J603)+L612</f>
        <v>3236398.84</v>
      </c>
      <c r="I662" s="19">
        <f>SUM(F662:H662)</f>
        <v>3511869.92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6188663.2200000007</v>
      </c>
      <c r="G663" s="19">
        <f>G659-SUM(G660:G662)</f>
        <v>0</v>
      </c>
      <c r="H663" s="19">
        <f>H659-SUM(H660:H662)</f>
        <v>0</v>
      </c>
      <c r="I663" s="19">
        <f>I659-SUM(I660:I662)</f>
        <v>6188663.2199999997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455.98</v>
      </c>
      <c r="G664" s="249"/>
      <c r="H664" s="249"/>
      <c r="I664" s="19">
        <f>SUM(F664:H664)</f>
        <v>455.98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13572.23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13572.23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13572.23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13572.23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10" sqref="B10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Winchester School District</v>
      </c>
      <c r="C1" s="239" t="s">
        <v>839</v>
      </c>
    </row>
    <row r="2" spans="1:3">
      <c r="A2" s="234"/>
      <c r="B2" s="233"/>
    </row>
    <row r="3" spans="1:3">
      <c r="A3" s="275" t="s">
        <v>784</v>
      </c>
      <c r="B3" s="275"/>
      <c r="C3" s="275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4" t="s">
        <v>783</v>
      </c>
      <c r="C6" s="274"/>
    </row>
    <row r="7" spans="1:3">
      <c r="A7" s="240" t="s">
        <v>786</v>
      </c>
      <c r="B7" s="272" t="s">
        <v>782</v>
      </c>
      <c r="C7" s="273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1370366.77</v>
      </c>
      <c r="C9" s="230">
        <f>'DOE25'!G196+'DOE25'!G214+'DOE25'!G232+'DOE25'!G275+'DOE25'!G294+'DOE25'!G313</f>
        <v>712126.60000000009</v>
      </c>
    </row>
    <row r="10" spans="1:3">
      <c r="A10" t="s">
        <v>779</v>
      </c>
      <c r="B10" s="241"/>
      <c r="C10" s="241"/>
    </row>
    <row r="11" spans="1:3">
      <c r="A11" t="s">
        <v>780</v>
      </c>
      <c r="B11" s="241"/>
      <c r="C11" s="241"/>
    </row>
    <row r="12" spans="1:3">
      <c r="A12" t="s">
        <v>781</v>
      </c>
      <c r="B12" s="241"/>
      <c r="C12" s="241"/>
    </row>
    <row r="13" spans="1:3">
      <c r="A13" t="str">
        <f>IF(B9=B13,IF(C9=C13,"Check Total OK","Check Total Error"),"Check Total Error")</f>
        <v>Check Total Error</v>
      </c>
      <c r="B13" s="232">
        <f>SUM(B10:B12)</f>
        <v>0</v>
      </c>
      <c r="C13" s="232">
        <f>SUM(C10:C12)</f>
        <v>0</v>
      </c>
    </row>
    <row r="14" spans="1:3">
      <c r="B14" s="231"/>
      <c r="C14" s="231"/>
    </row>
    <row r="15" spans="1:3">
      <c r="B15" s="274" t="s">
        <v>783</v>
      </c>
      <c r="C15" s="274"/>
    </row>
    <row r="16" spans="1:3">
      <c r="A16" s="240" t="s">
        <v>787</v>
      </c>
      <c r="B16" s="272" t="s">
        <v>707</v>
      </c>
      <c r="C16" s="273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1085122.8</v>
      </c>
      <c r="C18" s="230">
        <f>'DOE25'!G197+'DOE25'!G215+'DOE25'!G233+'DOE25'!G276+'DOE25'!G295+'DOE25'!G314</f>
        <v>259730.13999999998</v>
      </c>
    </row>
    <row r="19" spans="1:3">
      <c r="A19" t="s">
        <v>779</v>
      </c>
      <c r="B19" s="241"/>
      <c r="C19" s="241"/>
    </row>
    <row r="20" spans="1:3">
      <c r="A20" t="s">
        <v>780</v>
      </c>
      <c r="B20" s="241"/>
      <c r="C20" s="241"/>
    </row>
    <row r="21" spans="1:3">
      <c r="A21" t="s">
        <v>781</v>
      </c>
      <c r="B21" s="241"/>
      <c r="C21" s="241"/>
    </row>
    <row r="22" spans="1:3">
      <c r="A22" t="str">
        <f>IF(B18=B22,IF(C18=C22,"Check Total OK","Check Total Error"),"Check Total Error")</f>
        <v>Check Total Error</v>
      </c>
      <c r="B22" s="232">
        <f>SUM(B19:B21)</f>
        <v>0</v>
      </c>
      <c r="C22" s="232">
        <f>SUM(C19:C21)</f>
        <v>0</v>
      </c>
    </row>
    <row r="23" spans="1:3">
      <c r="B23" s="231"/>
      <c r="C23" s="231"/>
    </row>
    <row r="24" spans="1:3">
      <c r="B24" s="274" t="s">
        <v>783</v>
      </c>
      <c r="C24" s="274"/>
    </row>
    <row r="25" spans="1:3">
      <c r="A25" s="240" t="s">
        <v>788</v>
      </c>
      <c r="B25" s="272" t="s">
        <v>708</v>
      </c>
      <c r="C25" s="273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4" t="s">
        <v>783</v>
      </c>
      <c r="C33" s="274"/>
    </row>
    <row r="34" spans="1:3">
      <c r="A34" s="240" t="s">
        <v>789</v>
      </c>
      <c r="B34" s="272" t="s">
        <v>709</v>
      </c>
      <c r="C34" s="273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93312.48000000001</v>
      </c>
      <c r="C36" s="236">
        <f>'DOE25'!G199+'DOE25'!G217+'DOE25'!G235+'DOE25'!G278+'DOE25'!G297+'DOE25'!G316</f>
        <v>11106.18</v>
      </c>
    </row>
    <row r="37" spans="1:3">
      <c r="A37" t="s">
        <v>779</v>
      </c>
      <c r="B37" s="241"/>
      <c r="C37" s="241"/>
    </row>
    <row r="38" spans="1:3">
      <c r="A38" t="s">
        <v>780</v>
      </c>
      <c r="B38" s="241"/>
      <c r="C38" s="241"/>
    </row>
    <row r="39" spans="1:3">
      <c r="A39" t="s">
        <v>781</v>
      </c>
      <c r="B39" s="241"/>
      <c r="C39" s="241"/>
    </row>
    <row r="40" spans="1:3">
      <c r="A40" t="str">
        <f>IF(B36=B40,IF(C36=C40,"Check Total OK","Check Total Error"),"Check Total Error")</f>
        <v>Check Total Error</v>
      </c>
      <c r="B40" s="232">
        <f>SUM(B37:B39)</f>
        <v>0</v>
      </c>
      <c r="C40" s="232">
        <f>SUM(C37:C39)</f>
        <v>0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G16" sqref="G16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>
      <c r="A2" s="33" t="s">
        <v>717</v>
      </c>
      <c r="B2" s="266" t="str">
        <f>'DOE25'!A2</f>
        <v>Winchester School District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6661528.7999999998</v>
      </c>
      <c r="D5" s="20">
        <f>SUM('DOE25'!L196:L199)+SUM('DOE25'!L214:L217)+SUM('DOE25'!L232:L235)-F5-G5</f>
        <v>6661331.7999999998</v>
      </c>
      <c r="E5" s="244"/>
      <c r="F5" s="256">
        <f>SUM('DOE25'!J196:J199)+SUM('DOE25'!J214:J217)+SUM('DOE25'!J232:J235)</f>
        <v>0</v>
      </c>
      <c r="G5" s="53">
        <f>SUM('DOE25'!K196:K199)+SUM('DOE25'!K214:K217)+SUM('DOE25'!K232:K235)</f>
        <v>197</v>
      </c>
      <c r="H5" s="260"/>
    </row>
    <row r="6" spans="1:9">
      <c r="A6" s="32">
        <v>2100</v>
      </c>
      <c r="B6" t="s">
        <v>801</v>
      </c>
      <c r="C6" s="246">
        <f t="shared" si="0"/>
        <v>399656.59999999992</v>
      </c>
      <c r="D6" s="20">
        <f>'DOE25'!L201+'DOE25'!L219+'DOE25'!L237-F6-G6</f>
        <v>399406.59999999992</v>
      </c>
      <c r="E6" s="244"/>
      <c r="F6" s="256">
        <f>'DOE25'!J201+'DOE25'!J219+'DOE25'!J237</f>
        <v>0</v>
      </c>
      <c r="G6" s="53">
        <f>'DOE25'!K201+'DOE25'!K219+'DOE25'!K237</f>
        <v>250</v>
      </c>
      <c r="H6" s="260"/>
    </row>
    <row r="7" spans="1:9">
      <c r="A7" s="32">
        <v>2200</v>
      </c>
      <c r="B7" t="s">
        <v>834</v>
      </c>
      <c r="C7" s="246">
        <f t="shared" si="0"/>
        <v>87486.62</v>
      </c>
      <c r="D7" s="20">
        <f>'DOE25'!L202+'DOE25'!L220+'DOE25'!L238-F7-G7</f>
        <v>87486.62</v>
      </c>
      <c r="E7" s="244"/>
      <c r="F7" s="256">
        <f>'DOE25'!J202+'DOE25'!J220+'DOE25'!J238</f>
        <v>0</v>
      </c>
      <c r="G7" s="53">
        <f>'DOE25'!K202+'DOE25'!K220+'DOE25'!K238</f>
        <v>0</v>
      </c>
      <c r="H7" s="260"/>
    </row>
    <row r="8" spans="1:9">
      <c r="A8" s="32">
        <v>2300</v>
      </c>
      <c r="B8" t="s">
        <v>802</v>
      </c>
      <c r="C8" s="246">
        <f t="shared" si="0"/>
        <v>277376.58999999997</v>
      </c>
      <c r="D8" s="244"/>
      <c r="E8" s="20">
        <f>'DOE25'!L203+'DOE25'!L221+'DOE25'!L239-F8-G8-D9-D11</f>
        <v>266074.08999999997</v>
      </c>
      <c r="F8" s="256">
        <f>'DOE25'!J203+'DOE25'!J221+'DOE25'!J239</f>
        <v>0</v>
      </c>
      <c r="G8" s="53">
        <f>'DOE25'!K203+'DOE25'!K221+'DOE25'!K239</f>
        <v>11302.5</v>
      </c>
      <c r="H8" s="260"/>
    </row>
    <row r="9" spans="1:9">
      <c r="A9" s="32">
        <v>2310</v>
      </c>
      <c r="B9" t="s">
        <v>818</v>
      </c>
      <c r="C9" s="246">
        <f t="shared" si="0"/>
        <v>0</v>
      </c>
      <c r="D9" s="245"/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0</v>
      </c>
      <c r="D10" s="244"/>
      <c r="E10" s="245"/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0</v>
      </c>
      <c r="D11" s="245"/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307168.18000000005</v>
      </c>
      <c r="D12" s="20">
        <f>'DOE25'!L204+'DOE25'!L222+'DOE25'!L240-F12-G12</f>
        <v>307168.18000000005</v>
      </c>
      <c r="E12" s="244"/>
      <c r="F12" s="256">
        <f>'DOE25'!J204+'DOE25'!J222+'DOE25'!J240</f>
        <v>0</v>
      </c>
      <c r="G12" s="53">
        <f>'DOE25'!K204+'DOE25'!K222+'DOE25'!K240</f>
        <v>0</v>
      </c>
      <c r="H12" s="260"/>
    </row>
    <row r="13" spans="1:9">
      <c r="A13" s="32">
        <v>2500</v>
      </c>
      <c r="B13" t="s">
        <v>803</v>
      </c>
      <c r="C13" s="246">
        <f t="shared" si="0"/>
        <v>94724.57</v>
      </c>
      <c r="D13" s="244"/>
      <c r="E13" s="20">
        <f>'DOE25'!L205+'DOE25'!L223+'DOE25'!L241-F13-G13</f>
        <v>94724.57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569220.63</v>
      </c>
      <c r="D14" s="20">
        <f>'DOE25'!L206+'DOE25'!L224+'DOE25'!L242-F14-G14</f>
        <v>558581.48</v>
      </c>
      <c r="E14" s="244"/>
      <c r="F14" s="256">
        <f>'DOE25'!J206+'DOE25'!J224+'DOE25'!J242</f>
        <v>10639.15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530489.03</v>
      </c>
      <c r="D15" s="20">
        <f>'DOE25'!L207+'DOE25'!L225+'DOE25'!L243-F15-G15</f>
        <v>530489.03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188822.28999999998</v>
      </c>
      <c r="D16" s="244"/>
      <c r="E16" s="20">
        <f>'DOE25'!L208+'DOE25'!L226+'DOE25'!L244-F16-G16</f>
        <v>171271.91999999998</v>
      </c>
      <c r="F16" s="256">
        <f>'DOE25'!J208+'DOE25'!J226+'DOE25'!J244</f>
        <v>17550.37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271181</v>
      </c>
      <c r="D25" s="244"/>
      <c r="E25" s="244"/>
      <c r="F25" s="259"/>
      <c r="G25" s="257"/>
      <c r="H25" s="258">
        <f>'DOE25'!L259+'DOE25'!L260+'DOE25'!L340+'DOE25'!L341</f>
        <v>271181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168241.81</v>
      </c>
      <c r="D29" s="20">
        <f>'DOE25'!L357+'DOE25'!L358+'DOE25'!L359-'DOE25'!I366-F29-G29</f>
        <v>167690.31</v>
      </c>
      <c r="E29" s="244"/>
      <c r="F29" s="256">
        <f>'DOE25'!J357+'DOE25'!J358+'DOE25'!J359</f>
        <v>0</v>
      </c>
      <c r="G29" s="53">
        <f>'DOE25'!K357+'DOE25'!K358+'DOE25'!K359</f>
        <v>551.5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893551.58</v>
      </c>
      <c r="D31" s="20">
        <f>'DOE25'!L289+'DOE25'!L308+'DOE25'!L327+'DOE25'!L332+'DOE25'!L333+'DOE25'!L334-F31-G31</f>
        <v>864064.67999999993</v>
      </c>
      <c r="E31" s="244"/>
      <c r="F31" s="256">
        <f>'DOE25'!J289+'DOE25'!J308+'DOE25'!J327+'DOE25'!J332+'DOE25'!J333+'DOE25'!J334</f>
        <v>29486.9</v>
      </c>
      <c r="G31" s="53">
        <f>'DOE25'!K289+'DOE25'!K308+'DOE25'!K327+'DOE25'!K332+'DOE25'!K333+'DOE25'!K334</f>
        <v>0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9576218.6999999993</v>
      </c>
      <c r="E33" s="247">
        <f>SUM(E5:E31)</f>
        <v>532070.57999999996</v>
      </c>
      <c r="F33" s="247">
        <f>SUM(F5:F31)</f>
        <v>57676.42</v>
      </c>
      <c r="G33" s="247">
        <f>SUM(G5:G31)</f>
        <v>12301</v>
      </c>
      <c r="H33" s="247">
        <f>SUM(H5:H31)</f>
        <v>271181</v>
      </c>
    </row>
    <row r="35" spans="2:8" ht="12" thickBot="1">
      <c r="B35" s="254" t="s">
        <v>847</v>
      </c>
      <c r="D35" s="255">
        <f>E33</f>
        <v>532070.57999999996</v>
      </c>
      <c r="E35" s="250"/>
    </row>
    <row r="36" spans="2:8" ht="12" thickTop="1">
      <c r="B36" t="s">
        <v>815</v>
      </c>
      <c r="D36" s="20">
        <f>D33</f>
        <v>9576218.6999999993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N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Winchester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595338.02</v>
      </c>
      <c r="D8" s="95">
        <f>'DOE25'!G9</f>
        <v>11476.92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290365.21999999997</v>
      </c>
      <c r="D11" s="95">
        <f>'DOE25'!G12</f>
        <v>58060.84</v>
      </c>
      <c r="E11" s="95">
        <f>'DOE25'!H12</f>
        <v>1392.03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238380.21</v>
      </c>
      <c r="D12" s="95">
        <f>'DOE25'!G13</f>
        <v>11994.72</v>
      </c>
      <c r="E12" s="95">
        <f>'DOE25'!H13</f>
        <v>238380.21</v>
      </c>
      <c r="F12" s="95">
        <f>'DOE25'!I13</f>
        <v>0</v>
      </c>
      <c r="G12" s="95">
        <f>'DOE25'!J13</f>
        <v>215359.99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11590.82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7710.83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1135674.27</v>
      </c>
      <c r="D18" s="41">
        <f>SUM(D8:D17)</f>
        <v>89243.31</v>
      </c>
      <c r="E18" s="41">
        <f>SUM(E8:E17)</f>
        <v>239772.24</v>
      </c>
      <c r="F18" s="41">
        <f>SUM(F8:F17)</f>
        <v>0</v>
      </c>
      <c r="G18" s="41">
        <f>SUM(G8:G17)</f>
        <v>215359.99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324661.43</v>
      </c>
      <c r="D27" s="95">
        <f>'DOE25'!G28</f>
        <v>3343.34</v>
      </c>
      <c r="E27" s="95">
        <f>'DOE25'!H28</f>
        <v>13557.66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89051.83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324661.43</v>
      </c>
      <c r="D31" s="41">
        <f>SUM(D21:D30)</f>
        <v>3343.34</v>
      </c>
      <c r="E31" s="41">
        <f>SUM(E21:E30)</f>
        <v>102609.49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85899.97</v>
      </c>
      <c r="E46" s="95">
        <f>'DOE25'!H47</f>
        <v>137162.75</v>
      </c>
      <c r="F46" s="95">
        <f>'DOE25'!I47</f>
        <v>0</v>
      </c>
      <c r="G46" s="95">
        <f>'DOE25'!J47</f>
        <v>0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324661.43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215359.99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486351.41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811012.84</v>
      </c>
      <c r="D49" s="41">
        <f>SUM(D34:D48)</f>
        <v>85899.97</v>
      </c>
      <c r="E49" s="41">
        <f>SUM(E34:E48)</f>
        <v>137162.75</v>
      </c>
      <c r="F49" s="41">
        <f>SUM(F34:F48)</f>
        <v>0</v>
      </c>
      <c r="G49" s="41">
        <f>SUM(G34:G48)</f>
        <v>215359.99</v>
      </c>
      <c r="H49" s="124"/>
      <c r="I49" s="124"/>
    </row>
    <row r="50" spans="1:9" ht="12" thickTop="1">
      <c r="A50" s="38" t="s">
        <v>895</v>
      </c>
      <c r="B50" s="2"/>
      <c r="C50" s="41">
        <f>C49+C31</f>
        <v>1135674.27</v>
      </c>
      <c r="D50" s="41">
        <f>D49+D31</f>
        <v>89243.31</v>
      </c>
      <c r="E50" s="41">
        <f>E49+E31</f>
        <v>239772.24</v>
      </c>
      <c r="F50" s="41">
        <f>F49+F31</f>
        <v>0</v>
      </c>
      <c r="G50" s="41">
        <f>G49+G31</f>
        <v>215359.99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4946188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11015</v>
      </c>
      <c r="D56" s="24" t="s">
        <v>289</v>
      </c>
      <c r="E56" s="95">
        <f>'DOE25'!H78</f>
        <v>21485.93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82.76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34.119999999999997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46038.35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128302.1</v>
      </c>
      <c r="D60" s="95">
        <f>SUM('DOE25'!G97:G109)</f>
        <v>0</v>
      </c>
      <c r="E60" s="95">
        <f>SUM('DOE25'!H97:H109)</f>
        <v>94688.22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139399.86000000002</v>
      </c>
      <c r="D61" s="130">
        <f>SUM(D56:D60)</f>
        <v>46038.35</v>
      </c>
      <c r="E61" s="130">
        <f>SUM(E56:E60)</f>
        <v>116174.15</v>
      </c>
      <c r="F61" s="130">
        <f>SUM(F56:F60)</f>
        <v>0</v>
      </c>
      <c r="G61" s="130">
        <f>SUM(G56:G60)</f>
        <v>34.119999999999997</v>
      </c>
      <c r="H61"/>
      <c r="I61"/>
    </row>
    <row r="62" spans="1:9" ht="12" thickTop="1">
      <c r="A62" s="29" t="s">
        <v>175</v>
      </c>
      <c r="B62" s="6"/>
      <c r="C62" s="22">
        <f>C55+C61</f>
        <v>5085587.8600000003</v>
      </c>
      <c r="D62" s="22">
        <f>D55+D61</f>
        <v>46038.35</v>
      </c>
      <c r="E62" s="22">
        <f>E55+E61</f>
        <v>116174.15</v>
      </c>
      <c r="F62" s="22">
        <f>F55+F61</f>
        <v>0</v>
      </c>
      <c r="G62" s="22">
        <f>G55+G61</f>
        <v>34.119999999999997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4055562.1300000004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576228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3513.87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4635304.0000000009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61928.17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356027.92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3948.37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417956.08999999997</v>
      </c>
      <c r="D77" s="130">
        <f>SUM(D71:D76)</f>
        <v>3948.37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5053260.0900000008</v>
      </c>
      <c r="D80" s="130">
        <f>SUM(D78:D79)+D77+D69</f>
        <v>3948.37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102950.16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83675.81</v>
      </c>
      <c r="D87" s="95">
        <f>SUM('DOE25'!G152:G160)</f>
        <v>183680.98</v>
      </c>
      <c r="E87" s="95">
        <f>SUM('DOE25'!H152:H160)</f>
        <v>695558.4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186625.97</v>
      </c>
      <c r="D90" s="131">
        <f>SUM(D84:D89)</f>
        <v>183680.98</v>
      </c>
      <c r="E90" s="131">
        <f>SUM(E84:E89)</f>
        <v>695558.4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200000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200000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>
      <c r="A103" s="33" t="s">
        <v>765</v>
      </c>
      <c r="C103" s="86">
        <f>C62+C80+C90+C102</f>
        <v>10525473.920000002</v>
      </c>
      <c r="D103" s="86">
        <f>D62+D80+D90+D102</f>
        <v>233667.7</v>
      </c>
      <c r="E103" s="86">
        <f>E62+E80+E90+E102</f>
        <v>811732.55</v>
      </c>
      <c r="F103" s="86">
        <f>F62+F80+F90+F102</f>
        <v>0</v>
      </c>
      <c r="G103" s="86">
        <f>G62+G80+G102</f>
        <v>34.119999999999997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3130198.16</v>
      </c>
      <c r="D108" s="24" t="s">
        <v>289</v>
      </c>
      <c r="E108" s="95">
        <f>('DOE25'!L275)+('DOE25'!L294)+('DOE25'!L313)</f>
        <v>388740.57999999996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3501309.8899999997</v>
      </c>
      <c r="D109" s="24" t="s">
        <v>289</v>
      </c>
      <c r="E109" s="95">
        <f>('DOE25'!L276)+('DOE25'!L295)+('DOE25'!L314)</f>
        <v>99625.2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30020.75</v>
      </c>
      <c r="D111" s="24" t="s">
        <v>289</v>
      </c>
      <c r="E111" s="95">
        <f>+('DOE25'!L278)+('DOE25'!L297)+('DOE25'!L316)</f>
        <v>117678.76999999999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6661528.7999999998</v>
      </c>
      <c r="D114" s="86">
        <f>SUM(D108:D113)</f>
        <v>0</v>
      </c>
      <c r="E114" s="86">
        <f>SUM(E108:E113)</f>
        <v>606044.54999999993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399656.59999999992</v>
      </c>
      <c r="D117" s="24" t="s">
        <v>289</v>
      </c>
      <c r="E117" s="95">
        <f>+('DOE25'!L280)+('DOE25'!L299)+('DOE25'!L318)</f>
        <v>52970.47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87486.62</v>
      </c>
      <c r="D118" s="24" t="s">
        <v>289</v>
      </c>
      <c r="E118" s="95">
        <f>+('DOE25'!L281)+('DOE25'!L300)+('DOE25'!L319)</f>
        <v>222523.65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277376.58999999997</v>
      </c>
      <c r="D119" s="24" t="s">
        <v>289</v>
      </c>
      <c r="E119" s="95">
        <f>+('DOE25'!L282)+('DOE25'!L301)+('DOE25'!L320)</f>
        <v>165.75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307168.18000000005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94724.57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569220.63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530489.03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188822.28999999998</v>
      </c>
      <c r="D124" s="24" t="s">
        <v>289</v>
      </c>
      <c r="E124" s="95">
        <f>+('DOE25'!L287)+('DOE25'!L306)+('DOE25'!L325)</f>
        <v>11847.16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267035.63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2454944.5099999998</v>
      </c>
      <c r="D127" s="86">
        <f>SUM(D117:D126)</f>
        <v>267035.63</v>
      </c>
      <c r="E127" s="86">
        <f>SUM(E117:E126)</f>
        <v>287507.02999999997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175000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96181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200000</v>
      </c>
    </row>
    <row r="134" spans="1:7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21.72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12.4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-34.119999999999997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271181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200000</v>
      </c>
    </row>
    <row r="144" spans="1:7" ht="12.75" thickTop="1" thickBot="1">
      <c r="A144" s="33" t="s">
        <v>244</v>
      </c>
      <c r="C144" s="86">
        <f>(C114+C127+C143)</f>
        <v>9387654.3099999987</v>
      </c>
      <c r="D144" s="86">
        <f>(D114+D127+D143)</f>
        <v>267035.63</v>
      </c>
      <c r="E144" s="86">
        <f>(E114+E127+E143)</f>
        <v>893551.57999999984</v>
      </c>
      <c r="F144" s="86">
        <f>(F114+F127+F143)</f>
        <v>0</v>
      </c>
      <c r="G144" s="86">
        <f>(G114+G127+G143)</f>
        <v>200000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20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 t="str">
        <f>'DOE25'!F490</f>
        <v>08/03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 t="str">
        <f>'DOE25'!F491</f>
        <v>08/23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3504725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0.05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2275000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2275000</v>
      </c>
    </row>
    <row r="156" spans="1:9">
      <c r="A156" s="22" t="s">
        <v>33</v>
      </c>
      <c r="B156" s="137" t="str">
        <f>'DOE25'!F495</f>
        <v xml:space="preserve"> 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175000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175000</v>
      </c>
    </row>
    <row r="158" spans="1:9">
      <c r="A158" s="22" t="s">
        <v>35</v>
      </c>
      <c r="B158" s="137">
        <f>'DOE25'!F497</f>
        <v>2100000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2100000</v>
      </c>
    </row>
    <row r="159" spans="1:9">
      <c r="A159" s="22" t="s">
        <v>36</v>
      </c>
      <c r="B159" s="137">
        <f>'DOE25'!F498</f>
        <v>573194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573194</v>
      </c>
    </row>
    <row r="160" spans="1:9">
      <c r="A160" s="22" t="s">
        <v>37</v>
      </c>
      <c r="B160" s="137">
        <f>'DOE25'!F499</f>
        <v>2673194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2673194</v>
      </c>
    </row>
    <row r="161" spans="1:7">
      <c r="A161" s="22" t="s">
        <v>38</v>
      </c>
      <c r="B161" s="137">
        <f>'DOE25'!F500</f>
        <v>175000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175000</v>
      </c>
    </row>
    <row r="162" spans="1:7">
      <c r="A162" s="22" t="s">
        <v>39</v>
      </c>
      <c r="B162" s="137">
        <f>'DOE25'!F501</f>
        <v>87432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87432</v>
      </c>
    </row>
    <row r="163" spans="1:7">
      <c r="A163" s="22" t="s">
        <v>246</v>
      </c>
      <c r="B163" s="137">
        <f>'DOE25'!F502</f>
        <v>262432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262432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80" t="s">
        <v>740</v>
      </c>
      <c r="B1" s="280"/>
      <c r="C1" s="280"/>
      <c r="D1" s="280"/>
    </row>
    <row r="2" spans="1:4">
      <c r="A2" s="187" t="s">
        <v>717</v>
      </c>
      <c r="B2" s="186" t="str">
        <f>'DOE25'!A2</f>
        <v>Winchester School District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13572</v>
      </c>
    </row>
    <row r="5" spans="1:4">
      <c r="B5" t="s">
        <v>704</v>
      </c>
      <c r="C5" s="179">
        <f>IF('DOE25'!G664+'DOE25'!G669=0,0,ROUND('DOE25'!G671,0))</f>
        <v>0</v>
      </c>
    </row>
    <row r="6" spans="1:4">
      <c r="B6" t="s">
        <v>62</v>
      </c>
      <c r="C6" s="179">
        <f>IF('DOE25'!H664+'DOE25'!H669=0,0,ROUND('DOE25'!H671,0))</f>
        <v>0</v>
      </c>
    </row>
    <row r="7" spans="1:4">
      <c r="B7" t="s">
        <v>705</v>
      </c>
      <c r="C7" s="179">
        <f>IF('DOE25'!I664+'DOE25'!I669=0,0,ROUND('DOE25'!I671,0))</f>
        <v>13572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3518939</v>
      </c>
      <c r="D10" s="182">
        <f>ROUND((C10/$C$28)*100,1)</f>
        <v>34.1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3600935</v>
      </c>
      <c r="D11" s="182">
        <f>ROUND((C11/$C$28)*100,1)</f>
        <v>34.9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147700</v>
      </c>
      <c r="D13" s="182">
        <f>ROUND((C13/$C$28)*100,1)</f>
        <v>1.4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452627</v>
      </c>
      <c r="D15" s="182">
        <f t="shared" ref="D15:D27" si="0">ROUND((C15/$C$28)*100,1)</f>
        <v>4.4000000000000004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310010</v>
      </c>
      <c r="D16" s="182">
        <f t="shared" si="0"/>
        <v>3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478212</v>
      </c>
      <c r="D17" s="182">
        <f t="shared" si="0"/>
        <v>4.5999999999999996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307168</v>
      </c>
      <c r="D18" s="182">
        <f t="shared" si="0"/>
        <v>3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94725</v>
      </c>
      <c r="D19" s="182">
        <f t="shared" si="0"/>
        <v>0.9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569221</v>
      </c>
      <c r="D20" s="182">
        <f t="shared" si="0"/>
        <v>5.5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530489</v>
      </c>
      <c r="D21" s="182">
        <f t="shared" si="0"/>
        <v>5.0999999999999996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96181</v>
      </c>
      <c r="D25" s="182">
        <f t="shared" si="0"/>
        <v>0.9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220997.65</v>
      </c>
      <c r="D27" s="182">
        <f t="shared" si="0"/>
        <v>2.1</v>
      </c>
    </row>
    <row r="28" spans="1:4">
      <c r="B28" s="187" t="s">
        <v>723</v>
      </c>
      <c r="C28" s="180">
        <f>SUM(C10:C27)</f>
        <v>10327204.65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>
      <c r="B30" s="187" t="s">
        <v>729</v>
      </c>
      <c r="C30" s="180">
        <f>SUM(C28:C29)</f>
        <v>10327204.65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175000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4946188</v>
      </c>
      <c r="D35" s="182">
        <f t="shared" ref="D35:D40" si="1">ROUND((C35/$C$41)*100,1)</f>
        <v>43.7</v>
      </c>
    </row>
    <row r="36" spans="1:4">
      <c r="B36" s="185" t="s">
        <v>743</v>
      </c>
      <c r="C36" s="179">
        <f>SUM('DOE25'!F111:J111)-SUM('DOE25'!G96:G109)+('DOE25'!F173+'DOE25'!F174+'DOE25'!I173+'DOE25'!I174)-C35</f>
        <v>255608.13000000082</v>
      </c>
      <c r="D36" s="182">
        <f t="shared" si="1"/>
        <v>2.2999999999999998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4635304</v>
      </c>
      <c r="D37" s="182">
        <f t="shared" si="1"/>
        <v>40.9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421904</v>
      </c>
      <c r="D38" s="182">
        <f t="shared" si="1"/>
        <v>3.7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1065865</v>
      </c>
      <c r="D39" s="182">
        <f t="shared" si="1"/>
        <v>9.4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11324869.130000001</v>
      </c>
      <c r="D41" s="184">
        <f>SUM(D35:D40)</f>
        <v>100.00000000000001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4"/>
      <c r="K1" s="214"/>
      <c r="L1" s="214"/>
      <c r="M1" s="215"/>
    </row>
    <row r="2" spans="1:26" ht="12.75">
      <c r="A2" s="293" t="s">
        <v>767</v>
      </c>
      <c r="B2" s="294"/>
      <c r="C2" s="294"/>
      <c r="D2" s="294"/>
      <c r="E2" s="294"/>
      <c r="F2" s="291" t="str">
        <f>'DOE25'!A2</f>
        <v>Winchester School District</v>
      </c>
      <c r="G2" s="292"/>
      <c r="H2" s="292"/>
      <c r="I2" s="292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8"/>
      <c r="AO29" s="208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8"/>
      <c r="BB29" s="208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8"/>
      <c r="BO29" s="208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8"/>
      <c r="CB29" s="208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8"/>
      <c r="CO29" s="208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8"/>
      <c r="DB29" s="208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8"/>
      <c r="DO29" s="208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8"/>
      <c r="EB29" s="208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8"/>
      <c r="EO29" s="208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8"/>
      <c r="FB29" s="208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8"/>
      <c r="FO29" s="208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8"/>
      <c r="GB29" s="208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8"/>
      <c r="GO29" s="208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8"/>
      <c r="HB29" s="208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8"/>
      <c r="HO29" s="208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8"/>
      <c r="IB29" s="208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8"/>
      <c r="IO29" s="208"/>
      <c r="IP29" s="284"/>
      <c r="IQ29" s="284"/>
      <c r="IR29" s="284"/>
      <c r="IS29" s="284"/>
      <c r="IT29" s="284"/>
      <c r="IU29" s="284"/>
      <c r="IV29" s="284"/>
    </row>
    <row r="30" spans="1:256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8"/>
      <c r="AO30" s="208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8"/>
      <c r="BB30" s="208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8"/>
      <c r="BO30" s="208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8"/>
      <c r="CB30" s="208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8"/>
      <c r="CO30" s="208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8"/>
      <c r="DB30" s="208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8"/>
      <c r="DO30" s="208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8"/>
      <c r="EB30" s="208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8"/>
      <c r="EO30" s="208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8"/>
      <c r="FB30" s="208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8"/>
      <c r="FO30" s="208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8"/>
      <c r="GB30" s="208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8"/>
      <c r="GO30" s="208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8"/>
      <c r="HB30" s="208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8"/>
      <c r="HO30" s="208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8"/>
      <c r="IB30" s="208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8"/>
      <c r="IO30" s="208"/>
      <c r="IP30" s="284"/>
      <c r="IQ30" s="284"/>
      <c r="IR30" s="284"/>
      <c r="IS30" s="284"/>
      <c r="IT30" s="284"/>
      <c r="IU30" s="284"/>
      <c r="IV30" s="284"/>
    </row>
    <row r="31" spans="1:256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8"/>
      <c r="AO31" s="208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8"/>
      <c r="BB31" s="208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8"/>
      <c r="BO31" s="208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8"/>
      <c r="CB31" s="208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8"/>
      <c r="CO31" s="208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8"/>
      <c r="DB31" s="208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8"/>
      <c r="DO31" s="208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8"/>
      <c r="EB31" s="208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8"/>
      <c r="EO31" s="208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8"/>
      <c r="FB31" s="208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8"/>
      <c r="FO31" s="208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8"/>
      <c r="GB31" s="208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8"/>
      <c r="GO31" s="208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8"/>
      <c r="HB31" s="208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8"/>
      <c r="HO31" s="208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8"/>
      <c r="IB31" s="208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8"/>
      <c r="IO31" s="208"/>
      <c r="IP31" s="284"/>
      <c r="IQ31" s="284"/>
      <c r="IR31" s="284"/>
      <c r="IS31" s="284"/>
      <c r="IT31" s="284"/>
      <c r="IU31" s="284"/>
      <c r="IV31" s="284"/>
    </row>
    <row r="32" spans="1:256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85"/>
      <c r="Q32" s="285"/>
      <c r="R32" s="285"/>
      <c r="S32" s="285"/>
      <c r="T32" s="285"/>
      <c r="U32" s="285"/>
      <c r="V32" s="285"/>
      <c r="W32" s="285"/>
      <c r="X32" s="285"/>
      <c r="Y32" s="285"/>
      <c r="Z32" s="286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8"/>
      <c r="AO38" s="208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8"/>
      <c r="BB38" s="208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8"/>
      <c r="BO38" s="208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8"/>
      <c r="CB38" s="208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8"/>
      <c r="CO38" s="208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8"/>
      <c r="DB38" s="208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8"/>
      <c r="DO38" s="208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8"/>
      <c r="EB38" s="208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8"/>
      <c r="EO38" s="208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8"/>
      <c r="FB38" s="208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8"/>
      <c r="FO38" s="208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8"/>
      <c r="GB38" s="208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8"/>
      <c r="GO38" s="208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8"/>
      <c r="HB38" s="208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8"/>
      <c r="HO38" s="208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8"/>
      <c r="IB38" s="208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8"/>
      <c r="IO38" s="208"/>
      <c r="IP38" s="284"/>
      <c r="IQ38" s="284"/>
      <c r="IR38" s="284"/>
      <c r="IS38" s="284"/>
      <c r="IT38" s="284"/>
      <c r="IU38" s="284"/>
      <c r="IV38" s="284"/>
    </row>
    <row r="39" spans="1:256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8"/>
      <c r="AO39" s="208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8"/>
      <c r="BB39" s="208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8"/>
      <c r="BO39" s="208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8"/>
      <c r="CB39" s="208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8"/>
      <c r="CO39" s="208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8"/>
      <c r="DB39" s="208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8"/>
      <c r="DO39" s="208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8"/>
      <c r="EB39" s="208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8"/>
      <c r="EO39" s="208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8"/>
      <c r="FB39" s="208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8"/>
      <c r="FO39" s="208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8"/>
      <c r="GB39" s="208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8"/>
      <c r="GO39" s="208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8"/>
      <c r="HB39" s="208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8"/>
      <c r="HO39" s="208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8"/>
      <c r="IB39" s="208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8"/>
      <c r="IO39" s="208"/>
      <c r="IP39" s="284"/>
      <c r="IQ39" s="284"/>
      <c r="IR39" s="284"/>
      <c r="IS39" s="284"/>
      <c r="IT39" s="284"/>
      <c r="IU39" s="284"/>
      <c r="IV39" s="284"/>
    </row>
    <row r="40" spans="1:256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8"/>
      <c r="AO40" s="208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8"/>
      <c r="BB40" s="208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8"/>
      <c r="BO40" s="208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8"/>
      <c r="CB40" s="208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8"/>
      <c r="CO40" s="208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8"/>
      <c r="DB40" s="208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8"/>
      <c r="DO40" s="208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8"/>
      <c r="EB40" s="208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8"/>
      <c r="EO40" s="208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8"/>
      <c r="FB40" s="208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8"/>
      <c r="FO40" s="208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8"/>
      <c r="GB40" s="208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8"/>
      <c r="GO40" s="208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8"/>
      <c r="HB40" s="208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8"/>
      <c r="HO40" s="208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8"/>
      <c r="IB40" s="208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8"/>
      <c r="IO40" s="208"/>
      <c r="IP40" s="284"/>
      <c r="IQ40" s="284"/>
      <c r="IR40" s="284"/>
      <c r="IS40" s="284"/>
      <c r="IT40" s="284"/>
      <c r="IU40" s="284"/>
      <c r="IV40" s="284"/>
    </row>
    <row r="41" spans="1:256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>
      <c r="A70" s="221"/>
      <c r="B70" s="222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7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98" t="s">
        <v>848</v>
      </c>
      <c r="B72" s="298"/>
      <c r="C72" s="298"/>
      <c r="D72" s="298"/>
      <c r="E72" s="298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95"/>
      <c r="D73" s="295"/>
      <c r="E73" s="295"/>
      <c r="F73" s="295"/>
      <c r="G73" s="295"/>
      <c r="H73" s="295"/>
      <c r="I73" s="295"/>
      <c r="J73" s="295"/>
      <c r="K73" s="295"/>
      <c r="L73" s="295"/>
      <c r="M73" s="295"/>
    </row>
    <row r="74" spans="1:13">
      <c r="A74" s="212"/>
      <c r="B74" s="212"/>
      <c r="C74" s="295"/>
      <c r="D74" s="295"/>
      <c r="E74" s="295"/>
      <c r="F74" s="295"/>
      <c r="G74" s="295"/>
      <c r="H74" s="295"/>
      <c r="I74" s="295"/>
      <c r="J74" s="295"/>
      <c r="K74" s="295"/>
      <c r="L74" s="295"/>
      <c r="M74" s="295"/>
    </row>
    <row r="75" spans="1:13">
      <c r="A75" s="212"/>
      <c r="B75" s="212"/>
      <c r="C75" s="295"/>
      <c r="D75" s="295"/>
      <c r="E75" s="295"/>
      <c r="F75" s="295"/>
      <c r="G75" s="295"/>
      <c r="H75" s="295"/>
      <c r="I75" s="295"/>
      <c r="J75" s="295"/>
      <c r="K75" s="295"/>
      <c r="L75" s="295"/>
      <c r="M75" s="295"/>
    </row>
    <row r="76" spans="1:13">
      <c r="A76" s="212"/>
      <c r="B76" s="212"/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</row>
    <row r="77" spans="1:13">
      <c r="A77" s="212"/>
      <c r="B77" s="212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</row>
    <row r="78" spans="1:13">
      <c r="A78" s="212"/>
      <c r="B78" s="212"/>
      <c r="C78" s="295"/>
      <c r="D78" s="295"/>
      <c r="E78" s="295"/>
      <c r="F78" s="295"/>
      <c r="G78" s="295"/>
      <c r="H78" s="295"/>
      <c r="I78" s="295"/>
      <c r="J78" s="295"/>
      <c r="K78" s="295"/>
      <c r="L78" s="295"/>
      <c r="M78" s="295"/>
    </row>
    <row r="79" spans="1:13">
      <c r="A79" s="212"/>
      <c r="B79" s="212"/>
      <c r="C79" s="295"/>
      <c r="D79" s="295"/>
      <c r="E79" s="295"/>
      <c r="F79" s="295"/>
      <c r="G79" s="295"/>
      <c r="H79" s="295"/>
      <c r="I79" s="295"/>
      <c r="J79" s="295"/>
      <c r="K79" s="295"/>
      <c r="L79" s="295"/>
      <c r="M79" s="295"/>
    </row>
    <row r="80" spans="1:13">
      <c r="A80" s="212"/>
      <c r="B80" s="212"/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</row>
    <row r="81" spans="1:13">
      <c r="A81" s="212"/>
      <c r="B81" s="212"/>
      <c r="C81" s="295"/>
      <c r="D81" s="295"/>
      <c r="E81" s="295"/>
      <c r="F81" s="295"/>
      <c r="G81" s="295"/>
      <c r="H81" s="295"/>
      <c r="I81" s="295"/>
      <c r="J81" s="295"/>
      <c r="K81" s="295"/>
      <c r="L81" s="295"/>
      <c r="M81" s="295"/>
    </row>
    <row r="82" spans="1:13">
      <c r="A82" s="212"/>
      <c r="B82" s="212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</row>
    <row r="83" spans="1:13">
      <c r="A83" s="212"/>
      <c r="B83" s="212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</row>
    <row r="84" spans="1:13">
      <c r="A84" s="212"/>
      <c r="B84" s="212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</row>
    <row r="85" spans="1:13">
      <c r="A85" s="212"/>
      <c r="B85" s="212"/>
      <c r="C85" s="295"/>
      <c r="D85" s="295"/>
      <c r="E85" s="295"/>
      <c r="F85" s="295"/>
      <c r="G85" s="295"/>
      <c r="H85" s="295"/>
      <c r="I85" s="295"/>
      <c r="J85" s="295"/>
      <c r="K85" s="295"/>
      <c r="L85" s="295"/>
      <c r="M85" s="295"/>
    </row>
    <row r="86" spans="1:13">
      <c r="A86" s="212"/>
      <c r="B86" s="212"/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</row>
    <row r="87" spans="1:13">
      <c r="A87" s="212"/>
      <c r="B87" s="212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</row>
    <row r="88" spans="1:13">
      <c r="A88" s="212"/>
      <c r="B88" s="212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</row>
    <row r="89" spans="1:13">
      <c r="A89" s="212"/>
      <c r="B89" s="212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</row>
    <row r="90" spans="1:13">
      <c r="A90" s="212"/>
      <c r="B90" s="212"/>
      <c r="C90" s="295"/>
      <c r="D90" s="295"/>
      <c r="E90" s="295"/>
      <c r="F90" s="295"/>
      <c r="G90" s="295"/>
      <c r="H90" s="295"/>
      <c r="I90" s="295"/>
      <c r="J90" s="295"/>
      <c r="K90" s="295"/>
      <c r="L90" s="295"/>
      <c r="M90" s="295"/>
    </row>
  </sheetData>
  <sheetProtection password="BF0A" sheet="1" objects="1" scenarios="1"/>
  <mergeCells count="223">
    <mergeCell ref="C88:M88"/>
    <mergeCell ref="C89:M89"/>
    <mergeCell ref="C90:M90"/>
    <mergeCell ref="C83:M83"/>
    <mergeCell ref="C84:M84"/>
    <mergeCell ref="C85:M85"/>
    <mergeCell ref="C86:M86"/>
    <mergeCell ref="C25:M25"/>
    <mergeCell ref="C26:M26"/>
    <mergeCell ref="C27:M27"/>
    <mergeCell ref="C28:M28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70:M70"/>
    <mergeCell ref="A72:E72"/>
    <mergeCell ref="C73:M73"/>
    <mergeCell ref="C74:M74"/>
    <mergeCell ref="C66:M66"/>
    <mergeCell ref="C67:M67"/>
    <mergeCell ref="C68:M68"/>
    <mergeCell ref="C69:M69"/>
    <mergeCell ref="C29:M29"/>
    <mergeCell ref="C62:M62"/>
    <mergeCell ref="C63:M63"/>
    <mergeCell ref="C64:M64"/>
    <mergeCell ref="C65:M65"/>
    <mergeCell ref="C61:M61"/>
    <mergeCell ref="C53:M53"/>
    <mergeCell ref="C54:M54"/>
    <mergeCell ref="C55:M55"/>
    <mergeCell ref="C52:M52"/>
    <mergeCell ref="C50:M50"/>
    <mergeCell ref="C47:M47"/>
    <mergeCell ref="C48:M48"/>
    <mergeCell ref="C49:M49"/>
    <mergeCell ref="C51:M51"/>
    <mergeCell ref="C56:M56"/>
    <mergeCell ref="C57:M57"/>
    <mergeCell ref="C59:M59"/>
    <mergeCell ref="C60:M60"/>
    <mergeCell ref="C58:M58"/>
    <mergeCell ref="C34:M34"/>
    <mergeCell ref="C35:M35"/>
    <mergeCell ref="C36:M36"/>
    <mergeCell ref="C14:M14"/>
    <mergeCell ref="C15:M15"/>
    <mergeCell ref="C21:M21"/>
    <mergeCell ref="C22:M22"/>
    <mergeCell ref="C23:M23"/>
    <mergeCell ref="C24:M24"/>
    <mergeCell ref="C19:M19"/>
    <mergeCell ref="C20:M20"/>
    <mergeCell ref="A1:I1"/>
    <mergeCell ref="C3:M3"/>
    <mergeCell ref="C4:M4"/>
    <mergeCell ref="F2:I2"/>
    <mergeCell ref="C9:M9"/>
    <mergeCell ref="C10:M10"/>
    <mergeCell ref="C16:M16"/>
    <mergeCell ref="C17:M17"/>
    <mergeCell ref="C18:M18"/>
    <mergeCell ref="A2:E2"/>
    <mergeCell ref="C13:M13"/>
    <mergeCell ref="BC29:BM29"/>
    <mergeCell ref="BP29:BZ29"/>
    <mergeCell ref="CC29:CM29"/>
    <mergeCell ref="CP29:CZ29"/>
    <mergeCell ref="C11:M11"/>
    <mergeCell ref="C12:M12"/>
    <mergeCell ref="C5:M5"/>
    <mergeCell ref="C6:M6"/>
    <mergeCell ref="C7:M7"/>
    <mergeCell ref="C8:M8"/>
    <mergeCell ref="P29:Z29"/>
    <mergeCell ref="AC29:AM29"/>
    <mergeCell ref="AP29:AZ29"/>
    <mergeCell ref="GC29:GM29"/>
    <mergeCell ref="GP29:GZ29"/>
    <mergeCell ref="HC29:HM29"/>
    <mergeCell ref="HP29:HZ29"/>
    <mergeCell ref="IC29:IM29"/>
    <mergeCell ref="IP29:IV29"/>
    <mergeCell ref="DC29:DM29"/>
    <mergeCell ref="DP29:DZ29"/>
    <mergeCell ref="EC29:EM29"/>
    <mergeCell ref="EP29:EZ29"/>
    <mergeCell ref="FC29:FM29"/>
    <mergeCell ref="FP29:FZ29"/>
    <mergeCell ref="AC32:AM32"/>
    <mergeCell ref="AP32:AZ32"/>
    <mergeCell ref="P38:Z38"/>
    <mergeCell ref="AC38:AM38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AP31:AZ31"/>
    <mergeCell ref="C32:M32"/>
    <mergeCell ref="C30:M30"/>
    <mergeCell ref="C31:M31"/>
    <mergeCell ref="P31:Z31"/>
    <mergeCell ref="AC31:AM31"/>
    <mergeCell ref="P32:Z32"/>
    <mergeCell ref="AP38:AZ38"/>
    <mergeCell ref="P39:Z39"/>
    <mergeCell ref="AC39:AM39"/>
    <mergeCell ref="AP39:AZ3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HC30:HM30"/>
    <mergeCell ref="HP30:HZ30"/>
    <mergeCell ref="CC30:CM30"/>
    <mergeCell ref="CP30:CZ30"/>
    <mergeCell ref="DC30:DM30"/>
    <mergeCell ref="DP30:DZ30"/>
    <mergeCell ref="EC30:EM30"/>
    <mergeCell ref="EP30:EZ30"/>
    <mergeCell ref="BC30:BM30"/>
    <mergeCell ref="BP30:BZ30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HC32:HM32"/>
    <mergeCell ref="DC32:DM32"/>
    <mergeCell ref="DP32:DZ32"/>
    <mergeCell ref="EC32:EM32"/>
    <mergeCell ref="EP32:EZ32"/>
    <mergeCell ref="FP32:FZ32"/>
    <mergeCell ref="GC32:GM32"/>
    <mergeCell ref="GP32:GZ32"/>
    <mergeCell ref="BP38:BZ38"/>
    <mergeCell ref="CC38:CM38"/>
    <mergeCell ref="CC32:CM32"/>
    <mergeCell ref="CP38:CZ38"/>
    <mergeCell ref="DC38:DM38"/>
    <mergeCell ref="DP38:DZ38"/>
    <mergeCell ref="EC38:EM38"/>
    <mergeCell ref="EP38:EZ38"/>
    <mergeCell ref="BP32:BZ32"/>
    <mergeCell ref="BC38:BM38"/>
    <mergeCell ref="CC39:CM39"/>
    <mergeCell ref="CP39:CZ39"/>
    <mergeCell ref="IP39:IV39"/>
    <mergeCell ref="EP39:EZ39"/>
    <mergeCell ref="FC39:FM39"/>
    <mergeCell ref="FP39:FZ39"/>
    <mergeCell ref="GP39:GZ39"/>
    <mergeCell ref="FC38:FM38"/>
    <mergeCell ref="FP38:FZ38"/>
    <mergeCell ref="GC38:GM38"/>
    <mergeCell ref="GP38:GZ38"/>
    <mergeCell ref="HC38:HM38"/>
    <mergeCell ref="HP38:HZ38"/>
    <mergeCell ref="HP39:HZ39"/>
    <mergeCell ref="IC39:IM39"/>
    <mergeCell ref="HC39:HM39"/>
    <mergeCell ref="DC39:DM39"/>
    <mergeCell ref="DP39:DZ39"/>
    <mergeCell ref="EC39:EM39"/>
    <mergeCell ref="GC39:GM39"/>
    <mergeCell ref="IC38:IM38"/>
    <mergeCell ref="IP38:IV38"/>
    <mergeCell ref="BP39:BZ39"/>
    <mergeCell ref="C42:M42"/>
    <mergeCell ref="P40:Z40"/>
    <mergeCell ref="AC40:AM40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EP40:EZ40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2012-11-27T19:54:26Z</cp:lastPrinted>
  <dcterms:created xsi:type="dcterms:W3CDTF">1997-12-04T19:04:30Z</dcterms:created>
  <dcterms:modified xsi:type="dcterms:W3CDTF">2012-11-27T20:01:50Z</dcterms:modified>
</cp:coreProperties>
</file>