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6" i="12" l="1"/>
  <c r="C36" i="12"/>
  <c r="C39" i="12" s="1"/>
  <c r="B18" i="12"/>
  <c r="C18" i="12"/>
  <c r="C21" i="12"/>
  <c r="C20" i="12"/>
  <c r="C19" i="12"/>
  <c r="B9" i="12"/>
  <c r="C9" i="12"/>
  <c r="C12" i="12" s="1"/>
  <c r="C13" i="12" s="1"/>
  <c r="A13" i="12" s="1"/>
  <c r="C11" i="12"/>
  <c r="C10" i="12"/>
  <c r="G498" i="1"/>
  <c r="G494" i="1"/>
  <c r="G497" i="1" s="1"/>
  <c r="F498" i="1"/>
  <c r="F497" i="1"/>
  <c r="G458" i="1"/>
  <c r="F458" i="1"/>
  <c r="F40" i="2"/>
  <c r="D39" i="2"/>
  <c r="G654" i="1"/>
  <c r="F47" i="2"/>
  <c r="E47" i="2"/>
  <c r="D47" i="2"/>
  <c r="C47" i="2"/>
  <c r="C34" i="2"/>
  <c r="C35" i="2"/>
  <c r="C36" i="2"/>
  <c r="C38" i="2"/>
  <c r="C42" i="2"/>
  <c r="C43" i="2"/>
  <c r="C44" i="2"/>
  <c r="C46" i="2"/>
  <c r="C48" i="2"/>
  <c r="C49" i="2"/>
  <c r="F46" i="2"/>
  <c r="E46" i="2"/>
  <c r="D46" i="2"/>
  <c r="D34" i="2"/>
  <c r="D35" i="2"/>
  <c r="D36" i="2"/>
  <c r="D38" i="2"/>
  <c r="D42" i="2"/>
  <c r="D43" i="2"/>
  <c r="D44" i="2"/>
  <c r="F44" i="2"/>
  <c r="E44" i="2"/>
  <c r="F43" i="2"/>
  <c r="E43" i="2"/>
  <c r="F42" i="2"/>
  <c r="E42" i="2"/>
  <c r="F38" i="2"/>
  <c r="E38" i="2"/>
  <c r="F36" i="2"/>
  <c r="E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C111" i="2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C118" i="2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E122" i="2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E110" i="2" s="1"/>
  <c r="L316" i="1"/>
  <c r="L318" i="1"/>
  <c r="L319" i="1"/>
  <c r="L320" i="1"/>
  <c r="E119" i="2" s="1"/>
  <c r="L321" i="1"/>
  <c r="L322" i="1"/>
  <c r="L323" i="1"/>
  <c r="L324" i="1"/>
  <c r="H661" i="1" s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40" i="12"/>
  <c r="B27" i="12"/>
  <c r="C27" i="12"/>
  <c r="B31" i="12"/>
  <c r="C31" i="12"/>
  <c r="A31" i="12" s="1"/>
  <c r="B13" i="12"/>
  <c r="B22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L613" i="1"/>
  <c r="F662" i="1"/>
  <c r="C40" i="10"/>
  <c r="F59" i="1"/>
  <c r="C55" i="2"/>
  <c r="G59" i="1"/>
  <c r="H59" i="1"/>
  <c r="E55" i="2" s="1"/>
  <c r="I59" i="1"/>
  <c r="F78" i="1"/>
  <c r="C56" i="2" s="1"/>
  <c r="F93" i="1"/>
  <c r="F110" i="1"/>
  <c r="G110" i="1"/>
  <c r="H78" i="1"/>
  <c r="H93" i="1"/>
  <c r="E57" i="2" s="1"/>
  <c r="H110" i="1"/>
  <c r="I110" i="1"/>
  <c r="J110" i="1"/>
  <c r="F120" i="1"/>
  <c r="F135" i="1"/>
  <c r="G120" i="1"/>
  <c r="G139" i="1" s="1"/>
  <c r="G135" i="1"/>
  <c r="H120" i="1"/>
  <c r="H135" i="1"/>
  <c r="I120" i="1"/>
  <c r="I135" i="1"/>
  <c r="I139" i="1" s="1"/>
  <c r="J120" i="1"/>
  <c r="J135" i="1"/>
  <c r="F146" i="1"/>
  <c r="F161" i="1"/>
  <c r="F168" i="1"/>
  <c r="G146" i="1"/>
  <c r="G161" i="1"/>
  <c r="G168" i="1" s="1"/>
  <c r="H146" i="1"/>
  <c r="H161" i="1"/>
  <c r="H168" i="1" s="1"/>
  <c r="C39" i="10" s="1"/>
  <c r="I146" i="1"/>
  <c r="I161" i="1"/>
  <c r="C19" i="10"/>
  <c r="L249" i="1"/>
  <c r="C112" i="2" s="1"/>
  <c r="L331" i="1"/>
  <c r="C23" i="10" s="1"/>
  <c r="L253" i="1"/>
  <c r="L267" i="1"/>
  <c r="L268" i="1"/>
  <c r="L348" i="1"/>
  <c r="L349" i="1"/>
  <c r="I664" i="1"/>
  <c r="I669" i="1"/>
  <c r="I668" i="1"/>
  <c r="C5" i="10"/>
  <c r="C42" i="10"/>
  <c r="L373" i="1"/>
  <c r="L374" i="1"/>
  <c r="L375" i="1"/>
  <c r="L376" i="1"/>
  <c r="L377" i="1"/>
  <c r="F133" i="2"/>
  <c r="F127" i="2"/>
  <c r="L378" i="1"/>
  <c r="L379" i="1"/>
  <c r="F129" i="2" s="1"/>
  <c r="F143" i="2" s="1"/>
  <c r="B2" i="10"/>
  <c r="L343" i="1"/>
  <c r="L344" i="1"/>
  <c r="L345" i="1"/>
  <c r="L346" i="1"/>
  <c r="K350" i="1"/>
  <c r="L520" i="1"/>
  <c r="F548" i="1" s="1"/>
  <c r="L521" i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L540" i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A1" i="2"/>
  <c r="A2" i="2"/>
  <c r="C8" i="2"/>
  <c r="C9" i="2"/>
  <c r="C10" i="2"/>
  <c r="C11" i="2"/>
  <c r="C12" i="2"/>
  <c r="C13" i="2"/>
  <c r="C15" i="2"/>
  <c r="C16" i="2"/>
  <c r="C17" i="2"/>
  <c r="D8" i="2"/>
  <c r="E8" i="2"/>
  <c r="F8" i="2"/>
  <c r="I438" i="1"/>
  <c r="J9" i="1" s="1"/>
  <c r="G8" i="2" s="1"/>
  <c r="D9" i="2"/>
  <c r="E9" i="2"/>
  <c r="F9" i="2"/>
  <c r="I439" i="1"/>
  <c r="J10" i="1" s="1"/>
  <c r="G9" i="2" s="1"/>
  <c r="D11" i="2"/>
  <c r="E11" i="2"/>
  <c r="F11" i="2"/>
  <c r="F12" i="2"/>
  <c r="F13" i="2"/>
  <c r="F14" i="2"/>
  <c r="F15" i="2"/>
  <c r="F16" i="2"/>
  <c r="F17" i="2"/>
  <c r="I440" i="1"/>
  <c r="J12" i="1" s="1"/>
  <c r="G11" i="2" s="1"/>
  <c r="D12" i="2"/>
  <c r="E12" i="2"/>
  <c r="E13" i="2"/>
  <c r="E15" i="2"/>
  <c r="E16" i="2"/>
  <c r="E17" i="2"/>
  <c r="E18" i="2"/>
  <c r="I441" i="1"/>
  <c r="J13" i="1"/>
  <c r="G12" i="2" s="1"/>
  <c r="D13" i="2"/>
  <c r="D15" i="2"/>
  <c r="D16" i="2"/>
  <c r="D17" i="2"/>
  <c r="I442" i="1"/>
  <c r="J14" i="1" s="1"/>
  <c r="G13" i="2" s="1"/>
  <c r="I443" i="1"/>
  <c r="J17" i="1" s="1"/>
  <c r="G16" i="2" s="1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D31" i="2" s="1"/>
  <c r="E22" i="2"/>
  <c r="F22" i="2"/>
  <c r="I448" i="1"/>
  <c r="J23" i="1"/>
  <c r="G22" i="2" s="1"/>
  <c r="C23" i="2"/>
  <c r="D23" i="2"/>
  <c r="E23" i="2"/>
  <c r="F23" i="2"/>
  <c r="I449" i="1"/>
  <c r="J24" i="1"/>
  <c r="G23" i="2" s="1"/>
  <c r="C24" i="2"/>
  <c r="C25" i="2"/>
  <c r="C26" i="2"/>
  <c r="C27" i="2"/>
  <c r="C28" i="2"/>
  <c r="C29" i="2"/>
  <c r="C30" i="2"/>
  <c r="D24" i="2"/>
  <c r="E24" i="2"/>
  <c r="F24" i="2"/>
  <c r="F25" i="2"/>
  <c r="F26" i="2"/>
  <c r="F27" i="2"/>
  <c r="F28" i="2"/>
  <c r="F29" i="2"/>
  <c r="F30" i="2"/>
  <c r="D27" i="2"/>
  <c r="E27" i="2"/>
  <c r="D28" i="2"/>
  <c r="E28" i="2"/>
  <c r="D29" i="2"/>
  <c r="D30" i="2"/>
  <c r="E29" i="2"/>
  <c r="E30" i="2"/>
  <c r="I450" i="1"/>
  <c r="J31" i="1" s="1"/>
  <c r="G30" i="2" s="1"/>
  <c r="E34" i="2"/>
  <c r="F34" i="2"/>
  <c r="E35" i="2"/>
  <c r="F35" i="2"/>
  <c r="I453" i="1"/>
  <c r="J48" i="1"/>
  <c r="G47" i="2" s="1"/>
  <c r="I455" i="1"/>
  <c r="J43" i="1" s="1"/>
  <c r="G42" i="2" s="1"/>
  <c r="I456" i="1"/>
  <c r="J37" i="1" s="1"/>
  <c r="J50" i="1" s="1"/>
  <c r="I458" i="1"/>
  <c r="J47" i="1" s="1"/>
  <c r="G46" i="2" s="1"/>
  <c r="F55" i="2"/>
  <c r="F58" i="2"/>
  <c r="F60" i="2"/>
  <c r="C57" i="2"/>
  <c r="C58" i="2"/>
  <c r="D58" i="2"/>
  <c r="E58" i="2"/>
  <c r="D59" i="2"/>
  <c r="D60" i="2"/>
  <c r="D55" i="2"/>
  <c r="C60" i="2"/>
  <c r="E60" i="2"/>
  <c r="C65" i="2"/>
  <c r="C66" i="2"/>
  <c r="C68" i="2"/>
  <c r="D68" i="2"/>
  <c r="D69" i="2" s="1"/>
  <c r="E68" i="2"/>
  <c r="E69" i="2" s="1"/>
  <c r="F68" i="2"/>
  <c r="F69" i="2" s="1"/>
  <c r="G68" i="2"/>
  <c r="G69" i="2" s="1"/>
  <c r="G80" i="2" s="1"/>
  <c r="C71" i="2"/>
  <c r="F71" i="2"/>
  <c r="C72" i="2"/>
  <c r="F72" i="2"/>
  <c r="C73" i="2"/>
  <c r="C74" i="2"/>
  <c r="C75" i="2"/>
  <c r="E75" i="2"/>
  <c r="E76" i="2"/>
  <c r="E77" i="2" s="1"/>
  <c r="E80" i="2" s="1"/>
  <c r="F75" i="2"/>
  <c r="F76" i="2"/>
  <c r="C76" i="2"/>
  <c r="D76" i="2"/>
  <c r="D77" i="2" s="1"/>
  <c r="D78" i="2"/>
  <c r="G76" i="2"/>
  <c r="G77" i="2" s="1"/>
  <c r="C78" i="2"/>
  <c r="E78" i="2"/>
  <c r="C79" i="2"/>
  <c r="E79" i="2"/>
  <c r="D84" i="2"/>
  <c r="E84" i="2"/>
  <c r="F84" i="2"/>
  <c r="F86" i="2"/>
  <c r="F87" i="2"/>
  <c r="F88" i="2"/>
  <c r="F90" i="2"/>
  <c r="C86" i="2"/>
  <c r="E86" i="2"/>
  <c r="C87" i="2"/>
  <c r="C84" i="2"/>
  <c r="C88" i="2"/>
  <c r="C89" i="2"/>
  <c r="D87" i="2"/>
  <c r="E87" i="2"/>
  <c r="E88" i="2"/>
  <c r="D88" i="2"/>
  <c r="C92" i="2"/>
  <c r="F92" i="2"/>
  <c r="F93" i="2"/>
  <c r="F95" i="2"/>
  <c r="F96" i="2"/>
  <c r="F98" i="2"/>
  <c r="F99" i="2"/>
  <c r="F100" i="2"/>
  <c r="F101" i="2"/>
  <c r="F102" i="2"/>
  <c r="C93" i="2"/>
  <c r="D95" i="2"/>
  <c r="D96" i="2"/>
  <c r="D97" i="2"/>
  <c r="D98" i="2"/>
  <c r="D99" i="2"/>
  <c r="D100" i="2"/>
  <c r="D101" i="2"/>
  <c r="E95" i="2"/>
  <c r="E96" i="2"/>
  <c r="E97" i="2"/>
  <c r="E98" i="2"/>
  <c r="E99" i="2"/>
  <c r="E100" i="2"/>
  <c r="E101" i="2"/>
  <c r="G95" i="2"/>
  <c r="C96" i="2"/>
  <c r="G96" i="2"/>
  <c r="C97" i="2"/>
  <c r="G97" i="2"/>
  <c r="C98" i="2"/>
  <c r="C99" i="2"/>
  <c r="C100" i="2"/>
  <c r="C101" i="2"/>
  <c r="D114" i="2"/>
  <c r="F114" i="2"/>
  <c r="F144" i="2" s="1"/>
  <c r="G114" i="2"/>
  <c r="E118" i="2"/>
  <c r="E120" i="2"/>
  <c r="C121" i="2"/>
  <c r="E124" i="2"/>
  <c r="G127" i="2"/>
  <c r="C129" i="2"/>
  <c r="E129" i="2"/>
  <c r="D133" i="2"/>
  <c r="D143" i="2" s="1"/>
  <c r="E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D158" i="2"/>
  <c r="E158" i="2"/>
  <c r="F158" i="2"/>
  <c r="B159" i="2"/>
  <c r="G159" i="2" s="1"/>
  <c r="C159" i="2"/>
  <c r="D159" i="2"/>
  <c r="E159" i="2"/>
  <c r="F159" i="2"/>
  <c r="F499" i="1"/>
  <c r="B160" i="2" s="1"/>
  <c r="H499" i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50" i="1"/>
  <c r="G51" i="1" s="1"/>
  <c r="H617" i="1" s="1"/>
  <c r="H50" i="1"/>
  <c r="G623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L255" i="1" s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G337" i="1" s="1"/>
  <c r="G351" i="1" s="1"/>
  <c r="H336" i="1"/>
  <c r="I336" i="1"/>
  <c r="I337" i="1" s="1"/>
  <c r="I351" i="1" s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F407" i="1" s="1"/>
  <c r="H642" i="1" s="1"/>
  <c r="J642" i="1" s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G460" i="1" s="1"/>
  <c r="H639" i="1" s="1"/>
  <c r="H451" i="1"/>
  <c r="I451" i="1"/>
  <c r="F459" i="1"/>
  <c r="F460" i="1" s="1"/>
  <c r="H638" i="1" s="1"/>
  <c r="G459" i="1"/>
  <c r="H459" i="1"/>
  <c r="H460" i="1" s="1"/>
  <c r="H640" i="1" s="1"/>
  <c r="F469" i="1"/>
  <c r="G469" i="1"/>
  <c r="H469" i="1"/>
  <c r="I469" i="1"/>
  <c r="J469" i="1"/>
  <c r="F473" i="1"/>
  <c r="F475" i="1" s="1"/>
  <c r="H621" i="1" s="1"/>
  <c r="G473" i="1"/>
  <c r="H473" i="1"/>
  <c r="I473" i="1"/>
  <c r="I475" i="1"/>
  <c r="H624" i="1" s="1"/>
  <c r="J624" i="1" s="1"/>
  <c r="J473" i="1"/>
  <c r="J475" i="1" s="1"/>
  <c r="H625" i="1" s="1"/>
  <c r="K494" i="1"/>
  <c r="K495" i="1"/>
  <c r="K496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H544" i="1" s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H570" i="1" s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J640" i="1" s="1"/>
  <c r="G642" i="1"/>
  <c r="G643" i="1"/>
  <c r="G649" i="1"/>
  <c r="J649" i="1" s="1"/>
  <c r="H649" i="1"/>
  <c r="G650" i="1"/>
  <c r="G651" i="1"/>
  <c r="J651" i="1" s="1"/>
  <c r="H651" i="1"/>
  <c r="G652" i="1"/>
  <c r="J652" i="1" s="1"/>
  <c r="H652" i="1"/>
  <c r="G653" i="1"/>
  <c r="H653" i="1"/>
  <c r="H654" i="1"/>
  <c r="J654" i="1" s="1"/>
  <c r="C26" i="10"/>
  <c r="L350" i="1"/>
  <c r="E49" i="2"/>
  <c r="E31" i="2"/>
  <c r="E50" i="2"/>
  <c r="D18" i="13"/>
  <c r="C18" i="13"/>
  <c r="D17" i="13"/>
  <c r="C17" i="13"/>
  <c r="G155" i="2"/>
  <c r="E143" i="2"/>
  <c r="G102" i="2"/>
  <c r="D90" i="2"/>
  <c r="G61" i="2"/>
  <c r="G62" i="2" s="1"/>
  <c r="D19" i="13"/>
  <c r="C19" i="13" s="1"/>
  <c r="E13" i="13"/>
  <c r="C13" i="13" s="1"/>
  <c r="I168" i="1"/>
  <c r="H139" i="1"/>
  <c r="L392" i="1"/>
  <c r="C137" i="2" s="1"/>
  <c r="F22" i="13"/>
  <c r="C22" i="13" s="1"/>
  <c r="H191" i="1"/>
  <c r="L308" i="1"/>
  <c r="L569" i="1"/>
  <c r="H551" i="1"/>
  <c r="J32" i="1"/>
  <c r="I459" i="1"/>
  <c r="I460" i="1" s="1"/>
  <c r="H641" i="1" s="1"/>
  <c r="E117" i="2"/>
  <c r="I550" i="1"/>
  <c r="I551" i="1" s="1"/>
  <c r="G644" i="1"/>
  <c r="G621" i="1"/>
  <c r="J621" i="1" s="1"/>
  <c r="K337" i="1"/>
  <c r="K351" i="1" s="1"/>
  <c r="F549" i="1"/>
  <c r="K549" i="1" s="1"/>
  <c r="K502" i="1"/>
  <c r="E112" i="2"/>
  <c r="A22" i="12"/>
  <c r="G31" i="13"/>
  <c r="G33" i="13" s="1"/>
  <c r="J653" i="1"/>
  <c r="H25" i="13"/>
  <c r="C130" i="2"/>
  <c r="K256" i="1"/>
  <c r="K270" i="1" s="1"/>
  <c r="J337" i="1"/>
  <c r="J351" i="1" s="1"/>
  <c r="J256" i="1"/>
  <c r="K597" i="1"/>
  <c r="G646" i="1" s="1"/>
  <c r="J548" i="1"/>
  <c r="J551" i="1"/>
  <c r="L528" i="1"/>
  <c r="C29" i="10"/>
  <c r="L381" i="1"/>
  <c r="G635" i="1"/>
  <c r="J635" i="1" s="1"/>
  <c r="C11" i="10"/>
  <c r="E109" i="2"/>
  <c r="L289" i="1"/>
  <c r="C124" i="2"/>
  <c r="C20" i="10"/>
  <c r="D12" i="13"/>
  <c r="C12" i="13" s="1"/>
  <c r="C119" i="2"/>
  <c r="D6" i="13"/>
  <c r="C6" i="13" s="1"/>
  <c r="H256" i="1"/>
  <c r="H270" i="1" s="1"/>
  <c r="E16" i="13"/>
  <c r="C16" i="13" s="1"/>
  <c r="C17" i="10"/>
  <c r="H111" i="1"/>
  <c r="H192" i="1"/>
  <c r="G628" i="1" s="1"/>
  <c r="J628" i="1" s="1"/>
  <c r="E56" i="2"/>
  <c r="E61" i="2" s="1"/>
  <c r="E62" i="2" s="1"/>
  <c r="I662" i="1"/>
  <c r="G551" i="1"/>
  <c r="G544" i="1"/>
  <c r="L523" i="1"/>
  <c r="G475" i="1"/>
  <c r="H622" i="1" s="1"/>
  <c r="F660" i="1"/>
  <c r="L361" i="1"/>
  <c r="C27" i="10"/>
  <c r="E111" i="2"/>
  <c r="E108" i="2"/>
  <c r="D14" i="13"/>
  <c r="C14" i="13"/>
  <c r="C120" i="2"/>
  <c r="C117" i="2"/>
  <c r="C15" i="10"/>
  <c r="C10" i="10"/>
  <c r="C13" i="10"/>
  <c r="C16" i="10"/>
  <c r="C18" i="10"/>
  <c r="C21" i="10"/>
  <c r="G622" i="1"/>
  <c r="J617" i="1"/>
  <c r="K550" i="1"/>
  <c r="D126" i="2"/>
  <c r="D127" i="2" s="1"/>
  <c r="D144" i="2" s="1"/>
  <c r="G660" i="1"/>
  <c r="D29" i="13"/>
  <c r="C29" i="13" s="1"/>
  <c r="L327" i="1"/>
  <c r="C123" i="2"/>
  <c r="D7" i="13"/>
  <c r="C7" i="13" s="1"/>
  <c r="L246" i="1"/>
  <c r="F256" i="1"/>
  <c r="F270" i="1" s="1"/>
  <c r="D15" i="13"/>
  <c r="C15" i="13" s="1"/>
  <c r="F661" i="1"/>
  <c r="I661" i="1" s="1"/>
  <c r="G648" i="1"/>
  <c r="J648" i="1" s="1"/>
  <c r="H646" i="1"/>
  <c r="E8" i="13"/>
  <c r="C8" i="13" s="1"/>
  <c r="C77" i="2"/>
  <c r="C69" i="2"/>
  <c r="C80" i="2" s="1"/>
  <c r="C61" i="2"/>
  <c r="C62" i="2" s="1"/>
  <c r="C35" i="10"/>
  <c r="C25" i="13"/>
  <c r="H33" i="13"/>
  <c r="H647" i="1"/>
  <c r="J270" i="1"/>
  <c r="G634" i="1"/>
  <c r="J634" i="1" s="1"/>
  <c r="I660" i="1"/>
  <c r="E33" i="13"/>
  <c r="D35" i="13" s="1"/>
  <c r="D5" i="13"/>
  <c r="G162" i="2"/>
  <c r="G161" i="2"/>
  <c r="G163" i="2"/>
  <c r="J51" i="1"/>
  <c r="H620" i="1" s="1"/>
  <c r="G625" i="1"/>
  <c r="J625" i="1" s="1"/>
  <c r="J19" i="1"/>
  <c r="G620" i="1" s="1"/>
  <c r="H407" i="1"/>
  <c r="H643" i="1"/>
  <c r="J643" i="1" s="1"/>
  <c r="G103" i="2"/>
  <c r="C5" i="13"/>
  <c r="K548" i="1" l="1"/>
  <c r="K551" i="1" s="1"/>
  <c r="F551" i="1"/>
  <c r="J650" i="1"/>
  <c r="F139" i="1"/>
  <c r="H659" i="1"/>
  <c r="H663" i="1" s="1"/>
  <c r="C158" i="2"/>
  <c r="G158" i="2" s="1"/>
  <c r="G499" i="1"/>
  <c r="C160" i="2" s="1"/>
  <c r="K497" i="1"/>
  <c r="J622" i="1"/>
  <c r="J644" i="1"/>
  <c r="K604" i="1"/>
  <c r="G647" i="1" s="1"/>
  <c r="J647" i="1" s="1"/>
  <c r="G570" i="1"/>
  <c r="K570" i="1"/>
  <c r="L559" i="1"/>
  <c r="L570" i="1" s="1"/>
  <c r="J544" i="1"/>
  <c r="F544" i="1"/>
  <c r="H475" i="1"/>
  <c r="H623" i="1" s="1"/>
  <c r="L432" i="1"/>
  <c r="J433" i="1"/>
  <c r="H433" i="1"/>
  <c r="L418" i="1"/>
  <c r="I407" i="1"/>
  <c r="I256" i="1"/>
  <c r="I270" i="1" s="1"/>
  <c r="G256" i="1"/>
  <c r="G270" i="1" s="1"/>
  <c r="F191" i="1"/>
  <c r="H51" i="1"/>
  <c r="H618" i="1" s="1"/>
  <c r="F51" i="1"/>
  <c r="H616" i="1" s="1"/>
  <c r="J616" i="1" s="1"/>
  <c r="D80" i="2"/>
  <c r="F77" i="2"/>
  <c r="F80" i="2" s="1"/>
  <c r="D61" i="2"/>
  <c r="F61" i="2"/>
  <c r="F62" i="2" s="1"/>
  <c r="F103" i="2" s="1"/>
  <c r="F18" i="2"/>
  <c r="D18" i="2"/>
  <c r="J139" i="1"/>
  <c r="C38" i="10" s="1"/>
  <c r="I111" i="1"/>
  <c r="I192" i="1" s="1"/>
  <c r="G629" i="1" s="1"/>
  <c r="J629" i="1" s="1"/>
  <c r="G111" i="1"/>
  <c r="G192" i="1" s="1"/>
  <c r="G627" i="1" s="1"/>
  <c r="J627" i="1" s="1"/>
  <c r="L406" i="1"/>
  <c r="C139" i="2" s="1"/>
  <c r="L400" i="1"/>
  <c r="C32" i="10"/>
  <c r="E121" i="2"/>
  <c r="F31" i="13"/>
  <c r="F33" i="13" s="1"/>
  <c r="L210" i="1"/>
  <c r="F659" i="1" s="1"/>
  <c r="F663" i="1" s="1"/>
  <c r="J570" i="1"/>
  <c r="F570" i="1"/>
  <c r="I544" i="1"/>
  <c r="K544" i="1"/>
  <c r="L426" i="1"/>
  <c r="F433" i="1"/>
  <c r="L336" i="1"/>
  <c r="L337" i="1" s="1"/>
  <c r="L351" i="1" s="1"/>
  <c r="G632" i="1" s="1"/>
  <c r="J632" i="1" s="1"/>
  <c r="H337" i="1"/>
  <c r="H351" i="1" s="1"/>
  <c r="F337" i="1"/>
  <c r="F351" i="1" s="1"/>
  <c r="I191" i="1"/>
  <c r="J618" i="1"/>
  <c r="K499" i="1"/>
  <c r="G157" i="2"/>
  <c r="C90" i="2"/>
  <c r="E90" i="2"/>
  <c r="D62" i="2"/>
  <c r="F49" i="2"/>
  <c r="F50" i="2" s="1"/>
  <c r="F31" i="2"/>
  <c r="C31" i="2"/>
  <c r="C50" i="2" s="1"/>
  <c r="C18" i="2"/>
  <c r="L543" i="1"/>
  <c r="C25" i="10"/>
  <c r="E113" i="2"/>
  <c r="E114" i="2" s="1"/>
  <c r="C24" i="10"/>
  <c r="C122" i="2"/>
  <c r="C127" i="2" s="1"/>
  <c r="C12" i="10"/>
  <c r="L228" i="1"/>
  <c r="C110" i="2"/>
  <c r="D49" i="2"/>
  <c r="D50" i="2" s="1"/>
  <c r="C37" i="12"/>
  <c r="C40" i="12" s="1"/>
  <c r="A40" i="12" s="1"/>
  <c r="J620" i="1"/>
  <c r="H671" i="1"/>
  <c r="C6" i="10" s="1"/>
  <c r="H666" i="1"/>
  <c r="C28" i="10"/>
  <c r="J639" i="1"/>
  <c r="J638" i="1"/>
  <c r="L433" i="1"/>
  <c r="G637" i="1" s="1"/>
  <c r="J637" i="1" s="1"/>
  <c r="J633" i="1"/>
  <c r="J619" i="1"/>
  <c r="D31" i="13"/>
  <c r="J646" i="1"/>
  <c r="J623" i="1"/>
  <c r="D160" i="2"/>
  <c r="G160" i="2" s="1"/>
  <c r="G156" i="2"/>
  <c r="E102" i="2"/>
  <c r="E103" i="2" s="1"/>
  <c r="G18" i="2"/>
  <c r="C102" i="2"/>
  <c r="D102" i="2"/>
  <c r="D103" i="2" s="1"/>
  <c r="G31" i="2"/>
  <c r="G659" i="1"/>
  <c r="G663" i="1" s="1"/>
  <c r="I445" i="1"/>
  <c r="G641" i="1" s="1"/>
  <c r="J641" i="1" s="1"/>
  <c r="F111" i="1"/>
  <c r="E123" i="2"/>
  <c r="E127" i="2" s="1"/>
  <c r="E144" i="2" s="1"/>
  <c r="C113" i="2"/>
  <c r="C109" i="2"/>
  <c r="G36" i="2"/>
  <c r="G49" i="2" s="1"/>
  <c r="G50" i="2" s="1"/>
  <c r="L538" i="1"/>
  <c r="L544" i="1" s="1"/>
  <c r="J111" i="1"/>
  <c r="J192" i="1" s="1"/>
  <c r="C108" i="2"/>
  <c r="C114" i="2" s="1"/>
  <c r="C103" i="2" l="1"/>
  <c r="F671" i="1"/>
  <c r="C4" i="10" s="1"/>
  <c r="F666" i="1"/>
  <c r="C138" i="2"/>
  <c r="C140" i="2" s="1"/>
  <c r="C143" i="2" s="1"/>
  <c r="C144" i="2" s="1"/>
  <c r="L407" i="1"/>
  <c r="L256" i="1"/>
  <c r="L270" i="1" s="1"/>
  <c r="G631" i="1" s="1"/>
  <c r="J631" i="1" s="1"/>
  <c r="G645" i="1"/>
  <c r="G630" i="1"/>
  <c r="J630" i="1" s="1"/>
  <c r="F192" i="1"/>
  <c r="G626" i="1" s="1"/>
  <c r="C36" i="10"/>
  <c r="G671" i="1"/>
  <c r="G666" i="1"/>
  <c r="C31" i="13"/>
  <c r="D33" i="13"/>
  <c r="D36" i="13" s="1"/>
  <c r="D17" i="10"/>
  <c r="D24" i="10"/>
  <c r="D26" i="10"/>
  <c r="D21" i="10"/>
  <c r="D16" i="10"/>
  <c r="C30" i="10"/>
  <c r="D13" i="10"/>
  <c r="D22" i="10"/>
  <c r="D11" i="10"/>
  <c r="D10" i="10"/>
  <c r="D23" i="10"/>
  <c r="D12" i="10"/>
  <c r="D27" i="10"/>
  <c r="D19" i="10"/>
  <c r="D18" i="10"/>
  <c r="D25" i="10"/>
  <c r="D20" i="10"/>
  <c r="D15" i="10"/>
  <c r="I659" i="1"/>
  <c r="I663" i="1" s="1"/>
  <c r="G636" i="1" l="1"/>
  <c r="J636" i="1" s="1"/>
  <c r="H645" i="1"/>
  <c r="J645" i="1" s="1"/>
  <c r="D28" i="10"/>
  <c r="C41" i="10"/>
  <c r="D36" i="10" s="1"/>
  <c r="I671" i="1"/>
  <c r="C7" i="10" s="1"/>
  <c r="I666" i="1"/>
  <c r="J626" i="1"/>
  <c r="H655" i="1"/>
  <c r="D38" i="10" l="1"/>
  <c r="D37" i="10"/>
  <c r="D35" i="10"/>
  <c r="D39" i="10"/>
  <c r="D40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<sst xmlns="http://schemas.openxmlformats.org/spreadsheetml/2006/main" count="3951" uniqueCount="918">
  <si>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</si>
  <si>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</si>
  <si>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</si>
  <si>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</si>
  <si>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</si>
  <si>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</si>
  <si>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</si>
  <si>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</si>
  <si>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</si>
  <si>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</si>
  <si>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</si>
  <si>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</si>
  <si>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</si>
  <si>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</si>
  <si>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</si>
  <si>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</si>
  <si>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</si>
  <si>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</si>
  <si>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</si>
  <si>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</si>
  <si>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</si>
  <si>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</si>
  <si>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</si>
  <si>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</si>
  <si>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</si>
  <si>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</si>
  <si>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</si>
  <si>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</si>
  <si>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</si>
  <si>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</si>
  <si>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</si>
  <si>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</si>
  <si>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</si>
  <si>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</si>
  <si>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</si>
  <si>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</si>
  <si>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</si>
  <si>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</si>
  <si>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</si>
  <si>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</si>
  <si>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</si>
  <si>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</si>
  <si>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</si>
  <si>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</si>
  <si>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</si>
  <si>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</si>
  <si>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</si>
  <si>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</si>
  <si>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</si>
  <si>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</si>
  <si>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</si>
  <si>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</si>
  <si>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</si>
  <si>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</si>
  <si>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</si>
  <si>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</si>
  <si>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</si>
  <si>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</si>
  <si>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</si>
  <si>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</si>
  <si>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</si>
  <si>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</si>
  <si>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</si>
  <si>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</si>
  <si>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</si>
  <si>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</si>
  <si>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</si>
  <si>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</si>
  <si>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</si>
  <si>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</si>
  <si>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</si>
  <si>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</si>
  <si>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</si>
  <si>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</si>
  <si>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</si>
  <si>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</si>
  <si>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</si>
  <si>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</si>
  <si>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</si>
  <si>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</si>
  <si>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</si>
  <si>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</si>
  <si>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</si>
  <si>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</si>
  <si>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</si>
  <si>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</si>
  <si>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</si>
  <si>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</si>
  <si>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</si>
  <si>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</si>
  <si>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</si>
  <si>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</si>
  <si>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</si>
  <si>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</si>
  <si>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</si>
  <si>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</si>
  <si>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</si>
  <si>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</si>
  <si>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</si>
  <si>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</si>
  <si>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</si>
  <si>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</si>
  <si>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</si>
  <si>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</si>
  <si>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</si>
  <si>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</si>
  <si>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</si>
  <si>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</si>
  <si>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</si>
  <si>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</si>
  <si>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</si>
  <si>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</si>
  <si>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</si>
  <si>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</si>
  <si>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</si>
  <si>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</si>
  <si>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</si>
  <si>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</si>
  <si>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</si>
  <si>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</si>
  <si>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</si>
  <si>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</si>
  <si>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</si>
  <si>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</si>
  <si>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</si>
  <si>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</si>
  <si>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</si>
  <si>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</si>
  <si>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</si>
  <si>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</si>
  <si>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</si>
  <si>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</si>
  <si>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</si>
  <si>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</si>
  <si>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</si>
  <si>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</si>
  <si>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</si>
  <si>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</si>
  <si>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</si>
  <si>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</si>
  <si>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</si>
  <si>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</si>
  <si>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</si>
  <si>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</si>
  <si>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</si>
  <si>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</si>
  <si>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</si>
  <si>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</si>
  <si>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</si>
  <si>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</si>
  <si>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</si>
  <si>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</si>
  <si>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</si>
  <si>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</si>
  <si>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</si>
  <si>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</si>
  <si>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</si>
  <si>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</si>
  <si>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</si>
  <si>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</si>
  <si>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</si>
  <si>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</si>
  <si>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</si>
  <si>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</si>
  <si>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</si>
  <si>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</si>
  <si>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</si>
  <si>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</si>
  <si>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</si>
  <si>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</si>
  <si>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</si>
  <si>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</si>
  <si>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</si>
  <si>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</si>
  <si>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</si>
  <si>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</si>
  <si>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</si>
  <si>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</si>
  <si>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</si>
  <si>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</si>
  <si>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</si>
  <si>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</si>
  <si>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</si>
  <si>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</si>
  <si>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</si>
  <si>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</si>
  <si>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</si>
  <si>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</si>
  <si>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</si>
  <si>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</si>
  <si>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</si>
  <si>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</si>
  <si>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</si>
  <si>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</si>
  <si>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</si>
  <si>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</si>
  <si>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</si>
  <si>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</si>
  <si>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</si>
  <si>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</si>
  <si>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</si>
  <si>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</si>
  <si>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</si>
  <si>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</si>
  <si>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</si>
  <si>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</si>
  <si>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</si>
  <si>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</si>
  <si>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</si>
  <si>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</si>
  <si>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</si>
  <si>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</si>
  <si>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</si>
  <si>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</si>
  <si>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</si>
  <si>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</si>
  <si>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</si>
  <si>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</si>
  <si>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</si>
  <si>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</si>
  <si>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</si>
  <si>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</si>
  <si>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</si>
  <si>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</si>
  <si>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</si>
  <si>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</si>
  <si>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</si>
  <si>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</si>
  <si>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</si>
  <si>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</si>
  <si>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</si>
  <si>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</si>
  <si>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</si>
  <si>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</si>
  <si>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</si>
  <si>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</si>
  <si>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</si>
  <si>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</si>
  <si>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</si>
  <si>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</si>
  <si>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</si>
  <si>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</si>
  <si>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</si>
  <si>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</si>
  <si>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</si>
  <si>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</si>
  <si>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</si>
  <si>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</si>
  <si>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</si>
  <si>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</si>
  <si>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</si>
  <si>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</si>
  <si>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</si>
  <si>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</si>
  <si>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</si>
  <si>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</si>
  <si>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</si>
  <si>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</si>
  <si>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</si>
  <si>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</si>
  <si>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</si>
  <si>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</si>
  <si>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</si>
  <si>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</si>
  <si>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</si>
  <si>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</si>
  <si>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</si>
  <si>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</si>
  <si>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</si>
  <si>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</si>
  <si>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</si>
  <si>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</si>
  <si>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</si>
  <si>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</si>
  <si>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</si>
  <si>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</si>
  <si>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</si>
  <si>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</si>
  <si>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</si>
  <si>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</si>
  <si>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</si>
  <si>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</si>
  <si>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</si>
  <si>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</si>
  <si>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</si>
  <si>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</si>
  <si>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</si>
  <si>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</si>
  <si>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</si>
  <si>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</si>
  <si>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</si>
  <si>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</si>
  <si>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</si>
  <si>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</si>
  <si>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</si>
  <si>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</si>
  <si>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</si>
  <si>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</si>
  <si>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</si>
  <si>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</si>
  <si>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</si>
  <si>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</si>
  <si>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</si>
  <si>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</si>
  <si>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</si>
  <si>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</si>
  <si>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</si>
  <si>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</si>
  <si>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</si>
  <si>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</si>
  <si>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</si>
  <si>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</si>
  <si>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</si>
  <si>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</si>
  <si>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</si>
  <si>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</si>
  <si>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</si>
  <si>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</si>
  <si>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</si>
  <si>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</si>
  <si>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</si>
  <si>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</si>
  <si>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</si>
  <si>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</si>
  <si>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</si>
  <si>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</si>
  <si>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</si>
  <si>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</si>
  <si>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</si>
  <si>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</si>
  <si>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</si>
  <si>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</si>
  <si>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</si>
  <si>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</si>
  <si>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</si>
  <si>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</si>
  <si>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</si>
  <si>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</si>
  <si>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</si>
  <si>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</si>
  <si>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</si>
  <si>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</si>
  <si>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</si>
  <si>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</si>
  <si>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</si>
  <si>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</si>
  <si>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</si>
  <si>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</si>
  <si>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</si>
  <si>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</si>
  <si>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</si>
  <si>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</si>
  <si>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</si>
  <si>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</si>
  <si>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</si>
  <si>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</si>
  <si>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</si>
  <si>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</si>
  <si>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</si>
  <si>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</si>
  <si>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</si>
  <si>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</si>
  <si>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</si>
  <si>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</si>
  <si>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</si>
  <si>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</si>
  <si>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</si>
  <si>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</si>
  <si>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</si>
  <si>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</si>
  <si>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</si>
  <si>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</si>
  <si>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</si>
  <si>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</si>
  <si>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</si>
  <si>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</si>
  <si>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</si>
  <si>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</si>
  <si>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</si>
  <si>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</si>
  <si>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</si>
  <si>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</si>
  <si>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</si>
  <si>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</si>
  <si>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</si>
  <si>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</si>
  <si>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</si>
  <si>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</si>
  <si>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</si>
  <si>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</si>
  <si>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</si>
  <si>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</si>
  <si>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</si>
  <si>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</si>
  <si>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</si>
  <si>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</si>
  <si>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</si>
  <si>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</si>
  <si>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</si>
  <si>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</si>
  <si>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</si>
  <si>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</si>
  <si>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</si>
  <si>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</si>
  <si>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</si>
  <si>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</si>
  <si>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</si>
  <si>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</si>
  <si>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</si>
  <si>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</si>
  <si>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</si>
  <si>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</si>
  <si>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</si>
  <si>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</si>
  <si>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</si>
  <si>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</si>
  <si>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</si>
  <si>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</si>
  <si>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</si>
  <si>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</si>
  <si>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</si>
  <si>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</si>
  <si>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</si>
  <si>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</si>
  <si>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</si>
  <si>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</si>
  <si>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</si>
  <si>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</si>
  <si>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</si>
  <si>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</si>
  <si>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</si>
  <si>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</si>
  <si>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</si>
  <si>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</si>
  <si>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</si>
  <si>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</si>
  <si>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</si>
  <si>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</si>
  <si>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</si>
  <si>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</si>
  <si>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</si>
  <si>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</si>
  <si>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</si>
  <si>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</si>
  <si>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</si>
  <si>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</si>
  <si>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</si>
  <si>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</si>
  <si>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</si>
  <si>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</si>
  <si>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</si>
  <si>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</si>
  <si>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</si>
  <si>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</si>
  <si>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</si>
  <si>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</si>
  <si>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</si>
  <si>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</si>
  <si>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</si>
  <si>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</si>
  <si>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</si>
  <si>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</si>
  <si>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</si>
  <si>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</si>
  <si>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</si>
  <si>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</si>
  <si>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</si>
  <si>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</si>
  <si>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</si>
  <si>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</si>
  <si>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</si>
  <si>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</si>
  <si>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</si>
  <si>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</si>
  <si>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</si>
  <si>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</si>
  <si>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</si>
  <si>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</si>
  <si>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</si>
  <si>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</si>
  <si>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</si>
  <si>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</si>
  <si>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</si>
  <si>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</si>
  <si>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</si>
  <si>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</si>
  <si>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</si>
  <si>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</si>
  <si>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</si>
  <si>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</si>
  <si>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</si>
  <si>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</si>
  <si>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</si>
  <si>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</si>
  <si>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</si>
  <si>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</si>
  <si>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</si>
  <si>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</si>
  <si>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</si>
  <si>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</si>
  <si>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</si>
  <si>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</si>
  <si>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</si>
  <si>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</si>
  <si>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</si>
  <si>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</si>
  <si>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</si>
  <si>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</si>
  <si>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</si>
  <si>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</si>
  <si>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</si>
  <si>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</si>
  <si>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</si>
  <si>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</si>
  <si>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</si>
  <si>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</si>
  <si>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</si>
  <si>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</si>
  <si>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</si>
  <si>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</si>
  <si>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</si>
  <si>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</si>
  <si>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</si>
  <si>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</si>
  <si>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</si>
  <si>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</si>
  <si>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</si>
  <si>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</si>
  <si>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</si>
  <si>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</si>
  <si>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</si>
  <si>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</si>
  <si>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</si>
  <si>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</si>
  <si>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</si>
  <si>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</si>
  <si>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</si>
  <si>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</si>
  <si>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</si>
  <si>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</si>
  <si>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</si>
  <si>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</si>
  <si>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</si>
  <si>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</si>
  <si>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</si>
  <si>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</si>
  <si>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</si>
  <si>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</si>
  <si>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</si>
  <si>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</si>
  <si>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</si>
  <si>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</si>
  <si>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</si>
  <si>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</si>
  <si>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</si>
  <si>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</si>
  <si>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</si>
  <si>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</si>
  <si>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</si>
  <si>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</si>
  <si>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</si>
  <si>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</si>
  <si>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</si>
  <si>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</si>
  <si>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</si>
  <si>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</si>
  <si>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</si>
  <si>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</si>
  <si>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</si>
  <si>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</si>
  <si>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</si>
  <si>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</si>
  <si>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</si>
  <si>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</si>
  <si>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</si>
  <si>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</si>
  <si>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</si>
  <si>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</si>
  <si>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</si>
  <si>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</si>
  <si>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</si>
  <si>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</si>
  <si>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</si>
  <si>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</si>
  <si>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</si>
  <si>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</si>
  <si>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</si>
  <si>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</si>
  <si>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</si>
  <si>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</si>
  <si>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</si>
  <si>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</si>
  <si>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</si>
  <si>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</si>
  <si>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</si>
  <si>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</si>
  <si>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</si>
  <si>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</si>
  <si>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</si>
  <si>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</si>
  <si>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</si>
  <si>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</si>
  <si>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</si>
  <si>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</si>
  <si>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</si>
  <si>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</si>
  <si>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</si>
  <si>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</si>
  <si>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</si>
  <si>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</si>
  <si>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</si>
  <si>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</si>
  <si>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</si>
  <si>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</si>
  <si>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</si>
  <si>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</si>
  <si>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</si>
  <si>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</si>
  <si>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</si>
  <si>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</si>
  <si>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</si>
  <si>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</si>
  <si>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</si>
  <si>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</si>
  <si>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</si>
  <si>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</si>
  <si>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</si>
  <si>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</si>
  <si>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</si>
  <si>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</si>
  <si>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</si>
  <si>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</si>
  <si>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</si>
  <si>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</si>
  <si>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</si>
  <si>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</si>
  <si>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</si>
  <si>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</si>
  <si>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</si>
  <si>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</si>
  <si>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</si>
  <si>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</si>
  <si>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</si>
  <si>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</si>
  <si>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</si>
  <si>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</si>
  <si>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</si>
  <si>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</si>
  <si>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</si>
  <si>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</si>
  <si>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</si>
  <si>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</si>
  <si>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</si>
  <si>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</si>
  <si>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</si>
  <si>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</si>
  <si>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</si>
  <si>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</si>
  <si>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</si>
  <si>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</si>
  <si>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</si>
  <si>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</si>
  <si>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</si>
  <si>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</si>
  <si>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</si>
  <si>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</si>
  <si>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</si>
  <si>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</si>
  <si>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</si>
  <si>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</si>
  <si>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</si>
  <si>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</si>
  <si>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</si>
  <si>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</si>
  <si>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</si>
  <si>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</si>
  <si>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</si>
  <si>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</si>
  <si>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</si>
  <si>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</si>
  <si>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</si>
  <si>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</si>
  <si>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</si>
  <si>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</si>
  <si>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</si>
  <si>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</si>
  <si>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</si>
  <si>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</si>
  <si>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</si>
  <si>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</si>
  <si>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</si>
  <si>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</si>
  <si>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</si>
  <si>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</si>
  <si>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</si>
  <si>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</si>
  <si>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</si>
  <si>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</si>
  <si>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</si>
  <si>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</si>
  <si>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</si>
  <si>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</si>
  <si>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</si>
  <si>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</si>
  <si>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</si>
  <si>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</si>
  <si>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</si>
  <si>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</si>
  <si>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</si>
  <si>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</si>
  <si>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</si>
  <si>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</si>
  <si>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</si>
  <si>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</si>
  <si>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</si>
  <si>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</si>
  <si>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</si>
  <si>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</si>
  <si>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</si>
  <si>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</si>
  <si>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</si>
  <si>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</si>
  <si>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</si>
  <si>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</si>
  <si>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</si>
  <si>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</si>
  <si>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</si>
  <si>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</si>
  <si>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</si>
  <si>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</si>
  <si>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</si>
  <si>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</si>
  <si>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</si>
  <si>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</si>
  <si>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</si>
  <si>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</si>
  <si>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</si>
  <si>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</si>
  <si>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</si>
  <si>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</si>
  <si>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</si>
  <si>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</si>
  <si>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</si>
  <si>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</si>
  <si>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</si>
  <si>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</si>
  <si>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</si>
  <si>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</si>
  <si>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</si>
  <si>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</si>
  <si>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</si>
  <si>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</si>
  <si>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</si>
  <si>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</si>
  <si>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</si>
  <si>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</si>
  <si>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</si>
  <si>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</si>
  <si>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</si>
  <si>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</si>
  <si>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</si>
  <si>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</si>
  <si>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</si>
  <si>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</si>
  <si>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</si>
  <si>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</si>
  <si>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</si>
  <si>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</si>
  <si>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</si>
  <si>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</si>
  <si>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</si>
  <si>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</si>
  <si>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</si>
  <si>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</si>
  <si>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</si>
  <si>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</si>
  <si>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</si>
  <si>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</si>
  <si>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</si>
  <si>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</si>
  <si>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</si>
  <si>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</si>
  <si>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</si>
  <si>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</si>
  <si>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</si>
  <si>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</si>
  <si>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</si>
  <si>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</si>
  <si>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</si>
  <si>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</si>
  <si>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</si>
  <si>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</si>
  <si>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</si>
  <si>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</si>
  <si>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</si>
  <si>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</si>
  <si>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</si>
  <si>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</si>
  <si>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</si>
  <si>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</si>
  <si>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</si>
  <si>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</si>
  <si>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</si>
  <si>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</si>
  <si>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</si>
  <si>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</si>
  <si>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</si>
  <si>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</si>
  <si>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</si>
  <si>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</si>
  <si>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</si>
  <si>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</si>
  <si>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</si>
  <si>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</si>
  <si>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</si>
  <si>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</si>
  <si>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</si>
  <si>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</si>
  <si>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</si>
  <si>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</si>
  <si>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</si>
  <si>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</si>
  <si>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</si>
  <si>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</si>
  <si>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</si>
  <si>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</si>
  <si>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</si>
  <si>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</si>
  <si>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</si>
  <si>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</si>
  <si>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</si>
  <si>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</si>
  <si>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</si>
  <si>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</si>
  <si>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</si>
  <si>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</si>
  <si>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</si>
  <si>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</si>
  <si>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</si>
  <si>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</si>
  <si>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</si>
  <si>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</si>
  <si>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</si>
  <si>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</si>
  <si>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</si>
  <si>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</si>
  <si>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</si>
  <si>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</si>
  <si>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</si>
  <si>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</si>
  <si>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</si>
  <si>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</si>
  <si>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</si>
  <si>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</si>
  <si>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</si>
  <si>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</si>
  <si>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</si>
  <si>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</si>
  <si>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</si>
  <si>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</si>
  <si>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</si>
  <si>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</si>
  <si>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</si>
  <si>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</si>
  <si>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</si>
  <si>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</si>
  <si>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</si>
  <si>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</si>
  <si>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</si>
  <si>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</si>
  <si>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</si>
  <si>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</si>
  <si>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</si>
  <si>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</si>
  <si>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</si>
  <si>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</si>
  <si>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</si>
  <si>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</si>
  <si>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</si>
  <si>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</si>
  <si>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</si>
  <si>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</si>
  <si>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</si>
  <si>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</si>
  <si>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</si>
  <si>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</si>
  <si>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</si>
  <si>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</si>
  <si>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</si>
  <si>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</si>
  <si>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</si>
  <si>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</si>
  <si>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</si>
  <si>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</si>
  <si>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</si>
  <si>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</si>
  <si>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</si>
  <si>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</si>
  <si>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</si>
  <si>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</si>
  <si>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</si>
  <si>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</si>
  <si>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</si>
  <si>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</si>
  <si>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</si>
  <si>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</si>
  <si>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</si>
  <si>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</si>
  <si>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</si>
  <si>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06/05</t>
  </si>
  <si>
    <t>07/25</t>
  </si>
  <si>
    <t>06/08</t>
  </si>
  <si>
    <t>06/18</t>
  </si>
  <si>
    <t>Food Service Beginning Fund Balance has been adjusted per our auditors.  Our auditors proposed an entry in FY12 to bring</t>
  </si>
  <si>
    <t>on our inventory.</t>
  </si>
  <si>
    <t>Detailed Expense Data for Special Education is lower than what was reported for the FY11 year due to the fact that</t>
  </si>
  <si>
    <t>regular education accounts were mistakenly included in the FY11 report.</t>
  </si>
  <si>
    <t>Windham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</si>
</sst>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917</v>
      </c>
      <c r="B2" s="21">
        <v>575</v>
      </c>
      <c r="C2" s="21">
        <v>575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460449.78</v>
      </c>
      <c r="G9" s="18"/>
      <c r="H9" s="18"/>
      <c r="I9" s="18"/>
      <c r="J9" s="67">
        <f>SUM(I438)</f>
        <v>215432.86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212479.76</v>
      </c>
      <c r="G12" s="18">
        <v>3705.17</v>
      </c>
      <c r="H12" s="18">
        <v>72315.399999999994</v>
      </c>
      <c r="I12" s="18">
        <v>262341.98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119862.34</v>
      </c>
      <c r="G13" s="18">
        <v>19680.259999999998</v>
      </c>
      <c r="H13" s="18">
        <v>550817.31000000006</v>
      </c>
      <c r="I13" s="18">
        <v>538781.06999999995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48175.29</v>
      </c>
      <c r="G14" s="18"/>
      <c r="H14" s="18">
        <v>25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6185.99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3629.02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840967.17</v>
      </c>
      <c r="G19" s="41">
        <f>SUM(G9:G18)</f>
        <v>29571.42</v>
      </c>
      <c r="H19" s="41">
        <f>SUM(H9:H18)</f>
        <v>626786.7300000001</v>
      </c>
      <c r="I19" s="41">
        <f>SUM(I9:I18)</f>
        <v>801123.04999999993</v>
      </c>
      <c r="J19" s="41">
        <f>SUM(J9:J18)</f>
        <v>215432.86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550842.31000000006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946.1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53229.55</v>
      </c>
      <c r="G24" s="18"/>
      <c r="H24" s="18"/>
      <c r="I24" s="18">
        <v>187340.67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48600</v>
      </c>
      <c r="G25" s="145"/>
      <c r="H25" s="18"/>
      <c r="I25" s="18">
        <v>284988.08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44294.76</v>
      </c>
      <c r="G30" s="18">
        <v>23385.43</v>
      </c>
      <c r="H30" s="18">
        <v>46664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147070.41</v>
      </c>
      <c r="G32" s="41">
        <f>SUM(G22:G31)</f>
        <v>23385.43</v>
      </c>
      <c r="H32" s="41">
        <f>SUM(H22:H31)</f>
        <v>597506.31000000006</v>
      </c>
      <c r="I32" s="41">
        <f>SUM(I22:I31)</f>
        <v>472328.75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6185.99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29280.42</v>
      </c>
      <c r="I47" s="18">
        <v>45086</v>
      </c>
      <c r="J47" s="13">
        <f>SUM(I458)</f>
        <v>215432.86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131109.5</v>
      </c>
      <c r="G48" s="18"/>
      <c r="H48" s="18"/>
      <c r="I48" s="18">
        <v>283708.3</v>
      </c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562787.26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693896.76</v>
      </c>
      <c r="G50" s="41">
        <f>SUM(G35:G49)</f>
        <v>6185.99</v>
      </c>
      <c r="H50" s="41">
        <f>SUM(H35:H49)</f>
        <v>29280.42</v>
      </c>
      <c r="I50" s="41">
        <f>SUM(I35:I49)</f>
        <v>328794.3</v>
      </c>
      <c r="J50" s="41">
        <f>SUM(J35:J49)</f>
        <v>215432.86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840967.17</v>
      </c>
      <c r="G51" s="41">
        <f>G50+G32</f>
        <v>29571.42</v>
      </c>
      <c r="H51" s="41">
        <f>H50+H32</f>
        <v>626786.7300000001</v>
      </c>
      <c r="I51" s="41">
        <f>I50+I32</f>
        <v>801123.05</v>
      </c>
      <c r="J51" s="41">
        <f>J50+J32</f>
        <v>215432.86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31043108</v>
      </c>
      <c r="G56" s="18"/>
      <c r="H56" s="18"/>
      <c r="I56" s="18">
        <v>900000</v>
      </c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31043108</v>
      </c>
      <c r="G59" s="41">
        <f>SUM(G56:G58)</f>
        <v>0</v>
      </c>
      <c r="H59" s="41">
        <f>SUM(H56:H58)</f>
        <v>0</v>
      </c>
      <c r="I59" s="41">
        <f>SUM(I56:I58)</f>
        <v>900000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1950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67694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2250</v>
      </c>
      <c r="G78" s="45" t="s">
        <v>289</v>
      </c>
      <c r="H78" s="41">
        <f>SUM(H62:H77)</f>
        <v>67694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95.39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777526.99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45891.98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105579.52</v>
      </c>
      <c r="G109" s="18"/>
      <c r="H109" s="18">
        <v>29915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151471.5</v>
      </c>
      <c r="G110" s="41">
        <f>SUM(G95:G109)</f>
        <v>777526.99</v>
      </c>
      <c r="H110" s="41">
        <f>SUM(H95:H109)</f>
        <v>29915</v>
      </c>
      <c r="I110" s="41">
        <f>SUM(I95:I109)</f>
        <v>0</v>
      </c>
      <c r="J110" s="41">
        <f>SUM(J95:J109)</f>
        <v>95.39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31196829.5</v>
      </c>
      <c r="G111" s="41">
        <f>G59+G110</f>
        <v>777526.99</v>
      </c>
      <c r="H111" s="41">
        <f>H59+H78+H93+H110</f>
        <v>97609</v>
      </c>
      <c r="I111" s="41">
        <f>I59+I110</f>
        <v>900000</v>
      </c>
      <c r="J111" s="41">
        <f>J59+J110</f>
        <v>95.39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2391511.91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4949753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2072.09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7343337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962986.4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118680</v>
      </c>
      <c r="G123" s="24"/>
      <c r="H123" s="24"/>
      <c r="I123" s="18">
        <v>1000000</v>
      </c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294975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313050.28000000003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1941.42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8965.51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1691633.0999999999</v>
      </c>
      <c r="G135" s="41">
        <f>SUM(G122:G134)</f>
        <v>8965.51</v>
      </c>
      <c r="H135" s="41">
        <f>SUM(H122:H134)</f>
        <v>0</v>
      </c>
      <c r="I135" s="41">
        <f>SUM(I122:I134)</f>
        <v>1000000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9034970.0999999996</v>
      </c>
      <c r="G139" s="41">
        <f>G120+SUM(G135:G136)</f>
        <v>8965.51</v>
      </c>
      <c r="H139" s="41">
        <f>H120+SUM(H135:H138)</f>
        <v>0</v>
      </c>
      <c r="I139" s="41">
        <f>I120+I135</f>
        <v>1000000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158015.14000000001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158015.14000000001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52527.76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103392.55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110875.96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164037.18</v>
      </c>
      <c r="G159" s="24" t="s">
        <v>289</v>
      </c>
      <c r="H159" s="18">
        <v>457751.82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164037.18</v>
      </c>
      <c r="G161" s="41">
        <f>SUM(G149:G160)</f>
        <v>110875.96</v>
      </c>
      <c r="H161" s="41">
        <f>SUM(H149:H160)</f>
        <v>613672.13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322052.32</v>
      </c>
      <c r="G168" s="41">
        <f>G146+G161+SUM(G162:G167)</f>
        <v>110875.96</v>
      </c>
      <c r="H168" s="41">
        <f>H146+H161+SUM(H162:H167)</f>
        <v>613672.13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14950.99</v>
      </c>
      <c r="H178" s="18"/>
      <c r="I178" s="18">
        <v>622191</v>
      </c>
      <c r="J178" s="18">
        <v>168000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14950.99</v>
      </c>
      <c r="H182" s="41">
        <f>SUM(H178:H181)</f>
        <v>0</v>
      </c>
      <c r="I182" s="41">
        <f>SUM(I178:I181)</f>
        <v>622191</v>
      </c>
      <c r="J182" s="41">
        <f>SUM(J178:J181)</f>
        <v>168000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116419.24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116419.24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116419.24</v>
      </c>
      <c r="G191" s="41">
        <f>G182+SUM(G187:G190)</f>
        <v>14950.99</v>
      </c>
      <c r="H191" s="41">
        <f>+H182+SUM(H187:H190)</f>
        <v>0</v>
      </c>
      <c r="I191" s="41">
        <f>I176+I182+SUM(I187:I190)</f>
        <v>622191</v>
      </c>
      <c r="J191" s="41">
        <f>J182</f>
        <v>168000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40670271.160000004</v>
      </c>
      <c r="G192" s="47">
        <f>G111+G139+G168+G191</f>
        <v>912319.45</v>
      </c>
      <c r="H192" s="47">
        <f>H111+H139+H168+H191</f>
        <v>711281.13</v>
      </c>
      <c r="I192" s="47">
        <f>I111+I139+I168+I191</f>
        <v>2522191</v>
      </c>
      <c r="J192" s="47">
        <f>J111+J139+J191</f>
        <v>168095.39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7049374.0999999996</v>
      </c>
      <c r="G196" s="18">
        <v>3206254.02</v>
      </c>
      <c r="H196" s="18">
        <v>24168.63</v>
      </c>
      <c r="I196" s="18">
        <v>323177.75</v>
      </c>
      <c r="J196" s="18">
        <v>61934.05</v>
      </c>
      <c r="K196" s="18">
        <v>0</v>
      </c>
      <c r="L196" s="19">
        <f>SUM(F196:K196)</f>
        <v>10664908.550000001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2545190.38</v>
      </c>
      <c r="G197" s="18">
        <v>1183048.68</v>
      </c>
      <c r="H197" s="18">
        <v>1056157.98</v>
      </c>
      <c r="I197" s="18">
        <v>29694.799999999999</v>
      </c>
      <c r="J197" s="18">
        <v>18406.96</v>
      </c>
      <c r="K197" s="18">
        <v>15030.39</v>
      </c>
      <c r="L197" s="19">
        <f>SUM(F197:K197)</f>
        <v>4847529.1899999985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152951.57999999999</v>
      </c>
      <c r="G199" s="18">
        <v>84375.11</v>
      </c>
      <c r="H199" s="18">
        <v>8365</v>
      </c>
      <c r="I199" s="18">
        <v>9797.15</v>
      </c>
      <c r="J199" s="18">
        <v>0</v>
      </c>
      <c r="K199" s="18">
        <v>0</v>
      </c>
      <c r="L199" s="19">
        <f>SUM(F199:K199)</f>
        <v>255488.84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1372244.66</v>
      </c>
      <c r="G201" s="18">
        <v>590625.74</v>
      </c>
      <c r="H201" s="18">
        <v>256635.95</v>
      </c>
      <c r="I201" s="18">
        <v>58041.29</v>
      </c>
      <c r="J201" s="18">
        <v>8659.65</v>
      </c>
      <c r="K201" s="18">
        <v>7885.35</v>
      </c>
      <c r="L201" s="19">
        <f t="shared" ref="L201:L207" si="0">SUM(F201:K201)</f>
        <v>2294092.64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448496.61</v>
      </c>
      <c r="G202" s="18">
        <v>243049.60000000001</v>
      </c>
      <c r="H202" s="18">
        <v>83006.66</v>
      </c>
      <c r="I202" s="18">
        <v>48404.43</v>
      </c>
      <c r="J202" s="18">
        <v>284596.09000000003</v>
      </c>
      <c r="K202" s="18">
        <v>56085.58</v>
      </c>
      <c r="L202" s="19">
        <f t="shared" si="0"/>
        <v>1163638.9700000002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10201.75</v>
      </c>
      <c r="G203" s="18"/>
      <c r="H203" s="18">
        <v>593405.96</v>
      </c>
      <c r="I203" s="18">
        <v>7231.13</v>
      </c>
      <c r="J203" s="18">
        <v>0</v>
      </c>
      <c r="K203" s="18">
        <v>11920.38</v>
      </c>
      <c r="L203" s="19">
        <f t="shared" si="0"/>
        <v>622759.22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714738.99</v>
      </c>
      <c r="G204" s="18">
        <v>337500.42</v>
      </c>
      <c r="H204" s="18">
        <v>14384.33</v>
      </c>
      <c r="I204" s="18">
        <v>8016.75</v>
      </c>
      <c r="J204" s="18">
        <v>0</v>
      </c>
      <c r="K204" s="18">
        <v>12770.04</v>
      </c>
      <c r="L204" s="19">
        <f t="shared" si="0"/>
        <v>1087410.53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628025.81999999995</v>
      </c>
      <c r="G206" s="18">
        <v>337500.42</v>
      </c>
      <c r="H206" s="18">
        <v>679176.11</v>
      </c>
      <c r="I206" s="18">
        <v>504244.67</v>
      </c>
      <c r="J206" s="18">
        <v>1459.76</v>
      </c>
      <c r="K206" s="18">
        <v>0</v>
      </c>
      <c r="L206" s="19">
        <f t="shared" si="0"/>
        <v>2150406.7799999998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5510.41</v>
      </c>
      <c r="G207" s="18"/>
      <c r="H207" s="18">
        <v>1342633.9</v>
      </c>
      <c r="I207" s="18">
        <v>0</v>
      </c>
      <c r="J207" s="18">
        <v>0</v>
      </c>
      <c r="K207" s="18">
        <v>0</v>
      </c>
      <c r="L207" s="19">
        <f t="shared" si="0"/>
        <v>1348144.3099999998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55223.040000000001</v>
      </c>
      <c r="I208" s="18"/>
      <c r="J208" s="18"/>
      <c r="K208" s="18"/>
      <c r="L208" s="19">
        <f>SUM(F208:K208)</f>
        <v>55223.040000000001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12926734.300000001</v>
      </c>
      <c r="G210" s="41">
        <f t="shared" si="1"/>
        <v>5982353.9900000002</v>
      </c>
      <c r="H210" s="41">
        <f t="shared" si="1"/>
        <v>4113157.5599999996</v>
      </c>
      <c r="I210" s="41">
        <f t="shared" si="1"/>
        <v>988607.97</v>
      </c>
      <c r="J210" s="41">
        <f t="shared" si="1"/>
        <v>375056.51</v>
      </c>
      <c r="K210" s="41">
        <f t="shared" si="1"/>
        <v>103691.74000000002</v>
      </c>
      <c r="L210" s="41">
        <f t="shared" si="1"/>
        <v>24489602.069999997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2984214.57</v>
      </c>
      <c r="G232" s="18">
        <v>1350001.69</v>
      </c>
      <c r="H232" s="18">
        <v>42959.34</v>
      </c>
      <c r="I232" s="18">
        <v>253945.43</v>
      </c>
      <c r="J232" s="18">
        <v>66238.2</v>
      </c>
      <c r="K232" s="18">
        <v>5868.76</v>
      </c>
      <c r="L232" s="19">
        <f>SUM(F232:K232)</f>
        <v>4703227.9899999993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842999.13</v>
      </c>
      <c r="G233" s="18">
        <v>422730.25</v>
      </c>
      <c r="H233" s="18">
        <v>393020.96</v>
      </c>
      <c r="I233" s="18">
        <v>10713.28</v>
      </c>
      <c r="J233" s="18">
        <v>5362.94</v>
      </c>
      <c r="K233" s="18">
        <v>6089.18</v>
      </c>
      <c r="L233" s="19">
        <f>SUM(F233:K233)</f>
        <v>1680915.7399999998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271451.49</v>
      </c>
      <c r="G235" s="18">
        <v>84375.11</v>
      </c>
      <c r="H235" s="18">
        <v>53000</v>
      </c>
      <c r="I235" s="18">
        <v>41198.129999999997</v>
      </c>
      <c r="J235" s="18">
        <v>44656</v>
      </c>
      <c r="K235" s="18">
        <v>71654.5</v>
      </c>
      <c r="L235" s="19">
        <f>SUM(F235:K235)</f>
        <v>566335.23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467258.38</v>
      </c>
      <c r="G237" s="18">
        <v>253125.32</v>
      </c>
      <c r="H237" s="18">
        <v>96246.43</v>
      </c>
      <c r="I237" s="18">
        <v>11762.33</v>
      </c>
      <c r="J237" s="18">
        <v>5407.77</v>
      </c>
      <c r="K237" s="18">
        <v>206.73</v>
      </c>
      <c r="L237" s="19">
        <f t="shared" ref="L237:L243" si="4">SUM(F237:K237)</f>
        <v>834006.95999999985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337754.18</v>
      </c>
      <c r="G238" s="18">
        <v>195528.07</v>
      </c>
      <c r="H238" s="18">
        <v>65359.91</v>
      </c>
      <c r="I238" s="18">
        <v>23701.83</v>
      </c>
      <c r="J238" s="18">
        <v>181961.66</v>
      </c>
      <c r="K238" s="18">
        <v>20743.98</v>
      </c>
      <c r="L238" s="19">
        <f t="shared" si="4"/>
        <v>825049.63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3773.25</v>
      </c>
      <c r="G239" s="18"/>
      <c r="H239" s="18">
        <v>219478.92</v>
      </c>
      <c r="I239" s="18">
        <v>2674.53</v>
      </c>
      <c r="J239" s="18">
        <v>0</v>
      </c>
      <c r="K239" s="18">
        <v>4408.91</v>
      </c>
      <c r="L239" s="19">
        <f t="shared" si="4"/>
        <v>230335.61000000002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255728.26</v>
      </c>
      <c r="G240" s="18">
        <v>84375.11</v>
      </c>
      <c r="H240" s="18">
        <v>13573.46</v>
      </c>
      <c r="I240" s="18">
        <v>5168.22</v>
      </c>
      <c r="J240" s="18">
        <v>6516.1</v>
      </c>
      <c r="K240" s="18">
        <v>14112.64</v>
      </c>
      <c r="L240" s="19">
        <f t="shared" si="4"/>
        <v>379473.79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281213.36</v>
      </c>
      <c r="G242" s="18">
        <v>168750.21</v>
      </c>
      <c r="H242" s="18">
        <v>269407.63</v>
      </c>
      <c r="I242" s="18">
        <v>342841.78</v>
      </c>
      <c r="J242" s="18">
        <v>0</v>
      </c>
      <c r="K242" s="18">
        <v>0</v>
      </c>
      <c r="L242" s="19">
        <f t="shared" si="4"/>
        <v>1062212.98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2038.1</v>
      </c>
      <c r="G243" s="18"/>
      <c r="H243" s="18">
        <v>640043.80000000005</v>
      </c>
      <c r="I243" s="18">
        <v>0</v>
      </c>
      <c r="J243" s="18">
        <v>0</v>
      </c>
      <c r="K243" s="18">
        <v>0</v>
      </c>
      <c r="L243" s="19">
        <f t="shared" si="4"/>
        <v>642081.9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20424.96</v>
      </c>
      <c r="I244" s="18"/>
      <c r="J244" s="18"/>
      <c r="K244" s="18"/>
      <c r="L244" s="19">
        <f>SUM(F244:K244)</f>
        <v>20424.96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5446430.7199999988</v>
      </c>
      <c r="G246" s="41">
        <f t="shared" si="5"/>
        <v>2558885.7599999998</v>
      </c>
      <c r="H246" s="41">
        <f t="shared" si="5"/>
        <v>1813515.41</v>
      </c>
      <c r="I246" s="41">
        <f t="shared" si="5"/>
        <v>692005.53</v>
      </c>
      <c r="J246" s="41">
        <f t="shared" si="5"/>
        <v>310142.67</v>
      </c>
      <c r="K246" s="41">
        <f t="shared" si="5"/>
        <v>123084.7</v>
      </c>
      <c r="L246" s="41">
        <f t="shared" si="5"/>
        <v>10944064.789999999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145883.29</v>
      </c>
      <c r="I254" s="18"/>
      <c r="J254" s="18"/>
      <c r="K254" s="18"/>
      <c r="L254" s="19">
        <f t="shared" si="6"/>
        <v>145883.29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145883.29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145883.29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18373165.02</v>
      </c>
      <c r="G256" s="41">
        <f t="shared" si="8"/>
        <v>8541239.75</v>
      </c>
      <c r="H256" s="41">
        <f t="shared" si="8"/>
        <v>6072556.2599999998</v>
      </c>
      <c r="I256" s="41">
        <f t="shared" si="8"/>
        <v>1680613.5</v>
      </c>
      <c r="J256" s="41">
        <f t="shared" si="8"/>
        <v>685199.17999999993</v>
      </c>
      <c r="K256" s="41">
        <f t="shared" si="8"/>
        <v>226776.44</v>
      </c>
      <c r="L256" s="41">
        <f t="shared" si="8"/>
        <v>35579550.149999999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2955000</v>
      </c>
      <c r="L259" s="19">
        <f>SUM(F259:K259)</f>
        <v>2955000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1263662.5</v>
      </c>
      <c r="L260" s="19">
        <f>SUM(F260:K260)</f>
        <v>1263662.5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14950.99</v>
      </c>
      <c r="L262" s="19">
        <f>SUM(F262:K262)</f>
        <v>14950.99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622191</v>
      </c>
      <c r="L264" s="19">
        <f t="shared" si="9"/>
        <v>622191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168000</v>
      </c>
      <c r="L265" s="19">
        <f t="shared" si="9"/>
        <v>168000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5023804.49</v>
      </c>
      <c r="L269" s="41">
        <f t="shared" si="9"/>
        <v>5023804.49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18373165.02</v>
      </c>
      <c r="G270" s="42">
        <f t="shared" si="11"/>
        <v>8541239.75</v>
      </c>
      <c r="H270" s="42">
        <f t="shared" si="11"/>
        <v>6072556.2599999998</v>
      </c>
      <c r="I270" s="42">
        <f t="shared" si="11"/>
        <v>1680613.5</v>
      </c>
      <c r="J270" s="42">
        <f t="shared" si="11"/>
        <v>685199.17999999993</v>
      </c>
      <c r="K270" s="42">
        <f t="shared" si="11"/>
        <v>5250580.9300000006</v>
      </c>
      <c r="L270" s="42">
        <f t="shared" si="11"/>
        <v>40603354.640000001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60850.65</v>
      </c>
      <c r="G275" s="18">
        <v>6979.74</v>
      </c>
      <c r="H275" s="18">
        <v>16347.58</v>
      </c>
      <c r="I275" s="18">
        <v>7423.17</v>
      </c>
      <c r="J275" s="18">
        <v>5433.87</v>
      </c>
      <c r="K275" s="18"/>
      <c r="L275" s="19">
        <f>SUM(F275:K275)</f>
        <v>97035.01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228602.41</v>
      </c>
      <c r="G276" s="18">
        <v>92501.18</v>
      </c>
      <c r="H276" s="18">
        <v>5107.8599999999997</v>
      </c>
      <c r="I276" s="18">
        <v>15614.83</v>
      </c>
      <c r="J276" s="18">
        <v>8061.97</v>
      </c>
      <c r="K276" s="18"/>
      <c r="L276" s="19">
        <f>SUM(F276:K276)</f>
        <v>349888.24999999994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38854.25</v>
      </c>
      <c r="G278" s="18">
        <v>6431.75</v>
      </c>
      <c r="H278" s="18"/>
      <c r="I278" s="18">
        <v>4097.45</v>
      </c>
      <c r="J278" s="18"/>
      <c r="K278" s="18">
        <v>-2868.57</v>
      </c>
      <c r="L278" s="19">
        <f>SUM(F278:K278)</f>
        <v>46514.879999999997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4364.8999999999996</v>
      </c>
      <c r="I281" s="18"/>
      <c r="J281" s="18"/>
      <c r="K281" s="18"/>
      <c r="L281" s="19">
        <f t="shared" si="12"/>
        <v>4364.8999999999996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328307.31</v>
      </c>
      <c r="G289" s="42">
        <f t="shared" si="13"/>
        <v>105912.67</v>
      </c>
      <c r="H289" s="42">
        <f t="shared" si="13"/>
        <v>25820.339999999997</v>
      </c>
      <c r="I289" s="42">
        <f t="shared" si="13"/>
        <v>27135.45</v>
      </c>
      <c r="J289" s="42">
        <f t="shared" si="13"/>
        <v>13495.84</v>
      </c>
      <c r="K289" s="42">
        <f t="shared" si="13"/>
        <v>-2868.57</v>
      </c>
      <c r="L289" s="41">
        <f t="shared" si="13"/>
        <v>497803.04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8317.35</v>
      </c>
      <c r="G313" s="18">
        <v>1419.44</v>
      </c>
      <c r="H313" s="18">
        <v>9108.8799999999992</v>
      </c>
      <c r="I313" s="18">
        <v>5230.53</v>
      </c>
      <c r="J313" s="18">
        <v>14270.4</v>
      </c>
      <c r="K313" s="18"/>
      <c r="L313" s="19">
        <f>SUM(F313:K313)</f>
        <v>38346.6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82212.05</v>
      </c>
      <c r="G314" s="18">
        <v>34038.61</v>
      </c>
      <c r="H314" s="18">
        <v>1889.21</v>
      </c>
      <c r="I314" s="18">
        <v>5775.35</v>
      </c>
      <c r="J314" s="18">
        <v>122.15</v>
      </c>
      <c r="K314" s="18"/>
      <c r="L314" s="19">
        <f>SUM(F314:K314)</f>
        <v>124037.37000000001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18120.75</v>
      </c>
      <c r="G316" s="18">
        <v>2603.86</v>
      </c>
      <c r="H316" s="18"/>
      <c r="I316" s="18">
        <v>1515.49</v>
      </c>
      <c r="J316" s="18"/>
      <c r="K316" s="18">
        <v>-1060.98</v>
      </c>
      <c r="L316" s="19">
        <f>SUM(F316:K316)</f>
        <v>21179.120000000003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>
        <v>14472.93</v>
      </c>
      <c r="J319" s="18"/>
      <c r="K319" s="18"/>
      <c r="L319" s="19">
        <f t="shared" si="16"/>
        <v>14472.93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108650.15000000001</v>
      </c>
      <c r="G327" s="42">
        <f t="shared" si="17"/>
        <v>38061.910000000003</v>
      </c>
      <c r="H327" s="42">
        <f t="shared" si="17"/>
        <v>10998.09</v>
      </c>
      <c r="I327" s="42">
        <f t="shared" si="17"/>
        <v>26994.300000000003</v>
      </c>
      <c r="J327" s="42">
        <f t="shared" si="17"/>
        <v>14392.55</v>
      </c>
      <c r="K327" s="42">
        <f t="shared" si="17"/>
        <v>-1060.98</v>
      </c>
      <c r="L327" s="41">
        <f t="shared" si="17"/>
        <v>198036.02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436957.46</v>
      </c>
      <c r="G337" s="41">
        <f t="shared" si="20"/>
        <v>143974.58000000002</v>
      </c>
      <c r="H337" s="41">
        <f t="shared" si="20"/>
        <v>36818.429999999993</v>
      </c>
      <c r="I337" s="41">
        <f t="shared" si="20"/>
        <v>54129.75</v>
      </c>
      <c r="J337" s="41">
        <f t="shared" si="20"/>
        <v>27888.39</v>
      </c>
      <c r="K337" s="41">
        <f t="shared" si="20"/>
        <v>-3929.55</v>
      </c>
      <c r="L337" s="41">
        <f t="shared" si="20"/>
        <v>695839.05999999994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436957.46</v>
      </c>
      <c r="G351" s="41">
        <f>G337</f>
        <v>143974.58000000002</v>
      </c>
      <c r="H351" s="41">
        <f>H337</f>
        <v>36818.429999999993</v>
      </c>
      <c r="I351" s="41">
        <f>I337</f>
        <v>54129.75</v>
      </c>
      <c r="J351" s="41">
        <f>J337</f>
        <v>27888.39</v>
      </c>
      <c r="K351" s="47">
        <f>K337+K350</f>
        <v>-3929.55</v>
      </c>
      <c r="L351" s="41">
        <f>L337+L350</f>
        <v>695839.05999999994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2007.78</v>
      </c>
      <c r="G357" s="18">
        <v>330.28</v>
      </c>
      <c r="H357" s="18">
        <v>623443.46</v>
      </c>
      <c r="I357" s="18">
        <v>731.88</v>
      </c>
      <c r="J357" s="18"/>
      <c r="K357" s="18"/>
      <c r="L357" s="13">
        <f>SUM(F357:K357)</f>
        <v>626513.4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742.61</v>
      </c>
      <c r="G359" s="18">
        <v>122.16</v>
      </c>
      <c r="H359" s="18">
        <v>230588.68</v>
      </c>
      <c r="I359" s="18">
        <v>270.7</v>
      </c>
      <c r="J359" s="18"/>
      <c r="K359" s="18"/>
      <c r="L359" s="19">
        <f>SUM(F359:K359)</f>
        <v>231724.15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2750.39</v>
      </c>
      <c r="G361" s="47">
        <f t="shared" si="22"/>
        <v>452.43999999999994</v>
      </c>
      <c r="H361" s="47">
        <f t="shared" si="22"/>
        <v>854032.1399999999</v>
      </c>
      <c r="I361" s="47">
        <f t="shared" si="22"/>
        <v>1002.5799999999999</v>
      </c>
      <c r="J361" s="47">
        <f t="shared" si="22"/>
        <v>0</v>
      </c>
      <c r="K361" s="47">
        <f t="shared" si="22"/>
        <v>0</v>
      </c>
      <c r="L361" s="47">
        <f t="shared" si="22"/>
        <v>858237.55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731.88</v>
      </c>
      <c r="G367" s="63"/>
      <c r="H367" s="63">
        <v>270.7</v>
      </c>
      <c r="I367" s="56">
        <f>SUM(F367:H367)</f>
        <v>1002.5799999999999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731.88</v>
      </c>
      <c r="G368" s="47">
        <f>SUM(G366:G367)</f>
        <v>0</v>
      </c>
      <c r="H368" s="47">
        <f>SUM(H366:H367)</f>
        <v>270.7</v>
      </c>
      <c r="I368" s="47">
        <f>SUM(I366:I367)</f>
        <v>1002.5799999999999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>
        <v>0</v>
      </c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1196</v>
      </c>
      <c r="I375" s="18"/>
      <c r="J375" s="18"/>
      <c r="K375" s="18"/>
      <c r="L375" s="13">
        <f t="shared" si="23"/>
        <v>1196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2055000.7</v>
      </c>
      <c r="I377" s="18"/>
      <c r="J377" s="18"/>
      <c r="K377" s="18"/>
      <c r="L377" s="13">
        <f t="shared" si="23"/>
        <v>2055000.7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2056196.7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2056196.7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168000</v>
      </c>
      <c r="H391" s="18">
        <v>50.82</v>
      </c>
      <c r="I391" s="18"/>
      <c r="J391" s="24" t="s">
        <v>289</v>
      </c>
      <c r="K391" s="24" t="s">
        <v>289</v>
      </c>
      <c r="L391" s="56">
        <f t="shared" si="25"/>
        <v>168050.82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168000</v>
      </c>
      <c r="H392" s="139">
        <f>SUM(H386:H391)</f>
        <v>50.82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168050.82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44.57</v>
      </c>
      <c r="I395" s="18"/>
      <c r="J395" s="24" t="s">
        <v>289</v>
      </c>
      <c r="K395" s="24" t="s">
        <v>289</v>
      </c>
      <c r="L395" s="56">
        <f t="shared" si="26"/>
        <v>44.57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44.57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44.57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168000</v>
      </c>
      <c r="H407" s="47">
        <f>H392+H400+H406</f>
        <v>95.39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168095.39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116416</v>
      </c>
      <c r="L421" s="56">
        <f t="shared" si="29"/>
        <v>116416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116416</v>
      </c>
      <c r="L426" s="47">
        <f t="shared" si="30"/>
        <v>116416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116416</v>
      </c>
      <c r="L433" s="47">
        <f t="shared" si="32"/>
        <v>116416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196851.03</v>
      </c>
      <c r="G438" s="18">
        <v>18581.830000000002</v>
      </c>
      <c r="H438" s="18"/>
      <c r="I438" s="56">
        <f t="shared" ref="I438:I444" si="33">SUM(F438:H438)</f>
        <v>215432.86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196851.03</v>
      </c>
      <c r="G445" s="13">
        <f>SUM(G438:G444)</f>
        <v>18581.830000000002</v>
      </c>
      <c r="H445" s="13">
        <f>SUM(H438:H444)</f>
        <v>0</v>
      </c>
      <c r="I445" s="13">
        <f>SUM(I438:I444)</f>
        <v>215432.86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F438</f>
        <v>196851.03</v>
      </c>
      <c r="G458" s="18">
        <f>G438</f>
        <v>18581.830000000002</v>
      </c>
      <c r="H458" s="18"/>
      <c r="I458" s="56">
        <f t="shared" si="34"/>
        <v>215432.86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196851.03</v>
      </c>
      <c r="G459" s="83">
        <f>SUM(G453:G458)</f>
        <v>18581.830000000002</v>
      </c>
      <c r="H459" s="83">
        <f>SUM(H453:H458)</f>
        <v>0</v>
      </c>
      <c r="I459" s="83">
        <f>SUM(I453:I458)</f>
        <v>215432.86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196851.03</v>
      </c>
      <c r="G460" s="42">
        <f>G451+G459</f>
        <v>18581.830000000002</v>
      </c>
      <c r="H460" s="42">
        <f>H451+H459</f>
        <v>0</v>
      </c>
      <c r="I460" s="42">
        <f>I451+I459</f>
        <v>215432.86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626980.24</v>
      </c>
      <c r="G464" s="18">
        <v>-47895.91</v>
      </c>
      <c r="H464" s="18">
        <v>13838.35</v>
      </c>
      <c r="I464" s="18">
        <v>-137200</v>
      </c>
      <c r="J464" s="18">
        <v>163753.47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40670271.159999996</v>
      </c>
      <c r="G467" s="18">
        <v>912319.45</v>
      </c>
      <c r="H467" s="18">
        <v>711281.13</v>
      </c>
      <c r="I467" s="18">
        <v>2522191</v>
      </c>
      <c r="J467" s="18">
        <v>168095.39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40670271.159999996</v>
      </c>
      <c r="G469" s="53">
        <f>SUM(G467:G468)</f>
        <v>912319.45</v>
      </c>
      <c r="H469" s="53">
        <f>SUM(H467:H468)</f>
        <v>711281.13</v>
      </c>
      <c r="I469" s="53">
        <f>SUM(I467:I468)</f>
        <v>2522191</v>
      </c>
      <c r="J469" s="53">
        <f>SUM(J467:J468)</f>
        <v>168095.39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40603354.640000001</v>
      </c>
      <c r="G471" s="18">
        <v>858237.55</v>
      </c>
      <c r="H471" s="18">
        <v>695839.06</v>
      </c>
      <c r="I471" s="18">
        <v>2056196.7</v>
      </c>
      <c r="J471" s="18">
        <v>116416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40603354.640000001</v>
      </c>
      <c r="G473" s="53">
        <f>SUM(G471:G472)</f>
        <v>858237.55</v>
      </c>
      <c r="H473" s="53">
        <f>SUM(H471:H472)</f>
        <v>695839.06</v>
      </c>
      <c r="I473" s="53">
        <f>SUM(I471:I472)</f>
        <v>2056196.7</v>
      </c>
      <c r="J473" s="53">
        <f>SUM(J471:J472)</f>
        <v>116416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693896.75999999791</v>
      </c>
      <c r="G475" s="53">
        <f>(G464+G469)- G473</f>
        <v>6185.9899999998743</v>
      </c>
      <c r="H475" s="53">
        <f>(H464+H469)- H473</f>
        <v>29280.419999999925</v>
      </c>
      <c r="I475" s="53">
        <f>(I464+I469)- I473</f>
        <v>328794.30000000005</v>
      </c>
      <c r="J475" s="53">
        <f>(J464+J469)- J473</f>
        <v>215432.86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42753296</v>
      </c>
      <c r="G492" s="18">
        <v>4000000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3.92</v>
      </c>
      <c r="G493" s="18">
        <v>3.69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29855000</v>
      </c>
      <c r="G494" s="18">
        <f>3365000-375000</f>
        <v>2990000</v>
      </c>
      <c r="H494" s="18"/>
      <c r="I494" s="18"/>
      <c r="J494" s="18"/>
      <c r="K494" s="53">
        <f>SUM(F494:J494)</f>
        <v>32845000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2580000</v>
      </c>
      <c r="G496" s="18">
        <v>375000</v>
      </c>
      <c r="H496" s="18"/>
      <c r="I496" s="18"/>
      <c r="J496" s="18"/>
      <c r="K496" s="53">
        <f t="shared" si="35"/>
        <v>2955000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27275000</v>
      </c>
      <c r="G497" s="205">
        <f>G494-G496</f>
        <v>2615000</v>
      </c>
      <c r="H497" s="205"/>
      <c r="I497" s="205"/>
      <c r="J497" s="205"/>
      <c r="K497" s="206">
        <f t="shared" si="35"/>
        <v>29890000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8064530.88-1117937.5</f>
        <v>6946593.3799999999</v>
      </c>
      <c r="G498" s="18">
        <f>624450-145725</f>
        <v>478725</v>
      </c>
      <c r="H498" s="18"/>
      <c r="I498" s="18"/>
      <c r="J498" s="18"/>
      <c r="K498" s="53">
        <f t="shared" si="35"/>
        <v>7425318.3799999999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34221593.380000003</v>
      </c>
      <c r="G499" s="42">
        <f>SUM(G497:G498)</f>
        <v>3093725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37315318.380000003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2580000</v>
      </c>
      <c r="G500" s="205">
        <v>375000</v>
      </c>
      <c r="H500" s="205"/>
      <c r="I500" s="205"/>
      <c r="J500" s="205"/>
      <c r="K500" s="206">
        <f t="shared" si="35"/>
        <v>2955000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1021187.5</v>
      </c>
      <c r="G501" s="18">
        <v>126975</v>
      </c>
      <c r="H501" s="18"/>
      <c r="I501" s="18"/>
      <c r="J501" s="18"/>
      <c r="K501" s="53">
        <f t="shared" si="35"/>
        <v>1148162.5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3601187.5</v>
      </c>
      <c r="G502" s="42">
        <f>SUM(G500:G501)</f>
        <v>501975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4103162.5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2617194.79</v>
      </c>
      <c r="G520" s="18">
        <v>1203889.8899999999</v>
      </c>
      <c r="H520" s="18">
        <v>1057994.95</v>
      </c>
      <c r="I520" s="18">
        <v>40124.89</v>
      </c>
      <c r="J520" s="18">
        <v>26468.93</v>
      </c>
      <c r="K520" s="18">
        <v>15030.39</v>
      </c>
      <c r="L520" s="88">
        <f>SUM(F520:K520)</f>
        <v>4960703.8399999989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825587.8</v>
      </c>
      <c r="G522" s="18">
        <v>403975.92</v>
      </c>
      <c r="H522" s="18">
        <v>393700.39</v>
      </c>
      <c r="I522" s="18">
        <v>14570.99</v>
      </c>
      <c r="J522" s="18">
        <v>5485.1</v>
      </c>
      <c r="K522" s="18">
        <v>6089.18</v>
      </c>
      <c r="L522" s="88">
        <f>SUM(F522:K522)</f>
        <v>1649409.38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3442782.59</v>
      </c>
      <c r="G523" s="108">
        <f t="shared" ref="G523:L523" si="36">SUM(G520:G522)</f>
        <v>1607865.8099999998</v>
      </c>
      <c r="H523" s="108">
        <f t="shared" si="36"/>
        <v>1451695.3399999999</v>
      </c>
      <c r="I523" s="108">
        <f t="shared" si="36"/>
        <v>54695.88</v>
      </c>
      <c r="J523" s="108">
        <f t="shared" si="36"/>
        <v>31954.03</v>
      </c>
      <c r="K523" s="108">
        <f t="shared" si="36"/>
        <v>21119.57</v>
      </c>
      <c r="L523" s="89">
        <f t="shared" si="36"/>
        <v>6610113.2199999988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840513.97</v>
      </c>
      <c r="G525" s="18">
        <v>590625.74</v>
      </c>
      <c r="H525" s="18">
        <v>256635.95</v>
      </c>
      <c r="I525" s="18">
        <v>7843.3</v>
      </c>
      <c r="J525" s="18">
        <v>8659.65</v>
      </c>
      <c r="K525" s="18">
        <v>72.27</v>
      </c>
      <c r="L525" s="88">
        <f>SUM(F525:K525)</f>
        <v>1704350.88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81869.09</v>
      </c>
      <c r="G527" s="18">
        <v>253125.32</v>
      </c>
      <c r="H527" s="18">
        <v>94920.14</v>
      </c>
      <c r="I527" s="18">
        <v>3868.27</v>
      </c>
      <c r="J527" s="18">
        <v>520.27</v>
      </c>
      <c r="K527" s="18">
        <v>26.73</v>
      </c>
      <c r="L527" s="88">
        <f>SUM(F527:K527)</f>
        <v>434329.82000000007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922383.05999999994</v>
      </c>
      <c r="G528" s="89">
        <f t="shared" ref="G528:L528" si="37">SUM(G525:G527)</f>
        <v>843751.06</v>
      </c>
      <c r="H528" s="89">
        <f t="shared" si="37"/>
        <v>351556.09</v>
      </c>
      <c r="I528" s="89">
        <f t="shared" si="37"/>
        <v>11711.57</v>
      </c>
      <c r="J528" s="89">
        <f t="shared" si="37"/>
        <v>9179.92</v>
      </c>
      <c r="K528" s="89">
        <f t="shared" si="37"/>
        <v>99</v>
      </c>
      <c r="L528" s="89">
        <f t="shared" si="37"/>
        <v>2138680.7000000002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150865.82</v>
      </c>
      <c r="G530" s="18">
        <v>69155.520000000004</v>
      </c>
      <c r="H530" s="18"/>
      <c r="I530" s="18"/>
      <c r="J530" s="18"/>
      <c r="K530" s="18"/>
      <c r="L530" s="88">
        <f>SUM(F530:K530)</f>
        <v>220021.34000000003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99310.18</v>
      </c>
      <c r="G532" s="18">
        <v>51866.64</v>
      </c>
      <c r="H532" s="18"/>
      <c r="I532" s="18"/>
      <c r="J532" s="18"/>
      <c r="K532" s="18"/>
      <c r="L532" s="88">
        <f>SUM(F532:K532)</f>
        <v>151176.82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250176</v>
      </c>
      <c r="G533" s="89">
        <f t="shared" ref="G533:L533" si="38">SUM(G530:G532)</f>
        <v>121022.16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371198.16000000003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456649.26</v>
      </c>
      <c r="I540" s="18"/>
      <c r="J540" s="18"/>
      <c r="K540" s="18"/>
      <c r="L540" s="88">
        <f>SUM(F540:K540)</f>
        <v>456649.26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168897.67</v>
      </c>
      <c r="I542" s="18"/>
      <c r="J542" s="18"/>
      <c r="K542" s="18"/>
      <c r="L542" s="88">
        <f>SUM(F542:K542)</f>
        <v>168897.67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625546.93000000005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625546.93000000005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4615341.6499999994</v>
      </c>
      <c r="G544" s="89">
        <f t="shared" ref="G544:L544" si="41">G523+G528+G533+G538+G543</f>
        <v>2572639.0300000003</v>
      </c>
      <c r="H544" s="89">
        <f t="shared" si="41"/>
        <v>2428798.36</v>
      </c>
      <c r="I544" s="89">
        <f t="shared" si="41"/>
        <v>66407.45</v>
      </c>
      <c r="J544" s="89">
        <f t="shared" si="41"/>
        <v>41133.949999999997</v>
      </c>
      <c r="K544" s="89">
        <f t="shared" si="41"/>
        <v>21218.57</v>
      </c>
      <c r="L544" s="89">
        <f t="shared" si="41"/>
        <v>9745539.0099999979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4960703.8399999989</v>
      </c>
      <c r="G548" s="87">
        <f>L525</f>
        <v>1704350.88</v>
      </c>
      <c r="H548" s="87">
        <f>L530</f>
        <v>220021.34000000003</v>
      </c>
      <c r="I548" s="87">
        <f>L535</f>
        <v>0</v>
      </c>
      <c r="J548" s="87">
        <f>L540</f>
        <v>456649.26</v>
      </c>
      <c r="K548" s="87">
        <f>SUM(F548:J548)</f>
        <v>7341725.3199999984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1649409.38</v>
      </c>
      <c r="G550" s="87">
        <f>L527</f>
        <v>434329.82000000007</v>
      </c>
      <c r="H550" s="87">
        <f>L532</f>
        <v>151176.82</v>
      </c>
      <c r="I550" s="87">
        <f>L537</f>
        <v>0</v>
      </c>
      <c r="J550" s="87">
        <f>L542</f>
        <v>168897.67</v>
      </c>
      <c r="K550" s="87">
        <f>SUM(F550:J550)</f>
        <v>2403813.69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6610113.2199999988</v>
      </c>
      <c r="G551" s="89">
        <f t="shared" si="42"/>
        <v>2138680.7000000002</v>
      </c>
      <c r="H551" s="89">
        <f t="shared" si="42"/>
        <v>371198.16000000003</v>
      </c>
      <c r="I551" s="89">
        <f t="shared" si="42"/>
        <v>0</v>
      </c>
      <c r="J551" s="89">
        <f t="shared" si="42"/>
        <v>625546.93000000005</v>
      </c>
      <c r="K551" s="89">
        <f t="shared" si="42"/>
        <v>9745539.0099999979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109048.2</v>
      </c>
      <c r="G561" s="18">
        <v>64098.28</v>
      </c>
      <c r="H561" s="18">
        <v>3624.98</v>
      </c>
      <c r="I561" s="18">
        <v>5698.02</v>
      </c>
      <c r="J561" s="18"/>
      <c r="K561" s="18"/>
      <c r="L561" s="88">
        <f>SUM(F561:K561)</f>
        <v>182469.47999999998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40332.9</v>
      </c>
      <c r="G563" s="18">
        <v>23707.58</v>
      </c>
      <c r="H563" s="18">
        <v>1340.74</v>
      </c>
      <c r="I563" s="18">
        <v>2107.4899999999998</v>
      </c>
      <c r="J563" s="18"/>
      <c r="K563" s="18"/>
      <c r="L563" s="88">
        <f>SUM(F563:K563)</f>
        <v>67488.710000000006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149381.1</v>
      </c>
      <c r="G564" s="89">
        <f t="shared" si="44"/>
        <v>87805.86</v>
      </c>
      <c r="H564" s="89">
        <f t="shared" si="44"/>
        <v>4965.72</v>
      </c>
      <c r="I564" s="89">
        <f t="shared" si="44"/>
        <v>7805.51</v>
      </c>
      <c r="J564" s="89">
        <f t="shared" si="44"/>
        <v>0</v>
      </c>
      <c r="K564" s="89">
        <f t="shared" si="44"/>
        <v>0</v>
      </c>
      <c r="L564" s="89">
        <f t="shared" si="44"/>
        <v>249958.19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149381.1</v>
      </c>
      <c r="G570" s="89">
        <f t="shared" ref="G570:L570" si="46">G559+G564+G569</f>
        <v>87805.86</v>
      </c>
      <c r="H570" s="89">
        <f t="shared" si="46"/>
        <v>4965.72</v>
      </c>
      <c r="I570" s="89">
        <f t="shared" si="46"/>
        <v>7805.51</v>
      </c>
      <c r="J570" s="89">
        <f t="shared" si="46"/>
        <v>0</v>
      </c>
      <c r="K570" s="89">
        <f t="shared" si="46"/>
        <v>0</v>
      </c>
      <c r="L570" s="89">
        <f t="shared" si="46"/>
        <v>249958.19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40481.35</v>
      </c>
      <c r="I574" s="87">
        <f>SUM(F574:H574)</f>
        <v>40481.35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69208.88</v>
      </c>
      <c r="G578" s="18"/>
      <c r="H578" s="18">
        <v>25597.8</v>
      </c>
      <c r="I578" s="87">
        <f t="shared" si="47"/>
        <v>94806.680000000008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620036.43000000005</v>
      </c>
      <c r="G581" s="18"/>
      <c r="H581" s="18">
        <v>229328.54</v>
      </c>
      <c r="I581" s="87">
        <f t="shared" si="47"/>
        <v>849364.97000000009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274289.13</v>
      </c>
      <c r="G582" s="18"/>
      <c r="H582" s="18">
        <v>101449.41</v>
      </c>
      <c r="I582" s="87">
        <f t="shared" si="47"/>
        <v>375738.54000000004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859632.96</v>
      </c>
      <c r="I590" s="18"/>
      <c r="J590" s="18">
        <v>317946.44</v>
      </c>
      <c r="K590" s="104">
        <f t="shared" ref="K590:K596" si="48">SUM(H590:J590)</f>
        <v>1177579.3999999999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456649.26</v>
      </c>
      <c r="I591" s="18"/>
      <c r="J591" s="18">
        <v>168897.67</v>
      </c>
      <c r="K591" s="104">
        <f t="shared" si="48"/>
        <v>625546.93000000005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81378</v>
      </c>
      <c r="K592" s="104">
        <f t="shared" si="48"/>
        <v>81378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11477.65</v>
      </c>
      <c r="I593" s="18"/>
      <c r="J593" s="18">
        <v>66320.34</v>
      </c>
      <c r="K593" s="104">
        <f t="shared" si="48"/>
        <v>77797.989999999991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20384.439999999999</v>
      </c>
      <c r="I594" s="18"/>
      <c r="J594" s="18">
        <v>7539.45</v>
      </c>
      <c r="K594" s="104">
        <f t="shared" si="48"/>
        <v>27923.89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1348144.3099999998</v>
      </c>
      <c r="I597" s="108">
        <f>SUM(I590:I596)</f>
        <v>0</v>
      </c>
      <c r="J597" s="108">
        <f>SUM(J590:J596)</f>
        <v>642081.89999999991</v>
      </c>
      <c r="K597" s="108">
        <f>SUM(K590:K596)</f>
        <v>1990226.21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388552.35</v>
      </c>
      <c r="I603" s="18"/>
      <c r="J603" s="18">
        <v>324535.21999999997</v>
      </c>
      <c r="K603" s="104">
        <f>SUM(H603:J603)</f>
        <v>713087.57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388552.35</v>
      </c>
      <c r="I604" s="108">
        <f>SUM(I601:I603)</f>
        <v>0</v>
      </c>
      <c r="J604" s="108">
        <f>SUM(J601:J603)</f>
        <v>324535.21999999997</v>
      </c>
      <c r="K604" s="108">
        <f>SUM(K601:K603)</f>
        <v>713087.57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107810</v>
      </c>
      <c r="G610" s="18">
        <v>68105.27</v>
      </c>
      <c r="H610" s="18"/>
      <c r="I610" s="18"/>
      <c r="J610" s="18"/>
      <c r="K610" s="18"/>
      <c r="L610" s="88">
        <f>SUM(F610:K610)</f>
        <v>175915.27000000002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23145.5</v>
      </c>
      <c r="G612" s="18">
        <v>8513.16</v>
      </c>
      <c r="H612" s="18"/>
      <c r="I612" s="18"/>
      <c r="J612" s="18"/>
      <c r="K612" s="18"/>
      <c r="L612" s="88">
        <f>SUM(F612:K612)</f>
        <v>31658.66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130955.5</v>
      </c>
      <c r="G613" s="108">
        <f t="shared" si="49"/>
        <v>76618.430000000008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207573.93000000002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840967.17</v>
      </c>
      <c r="H616" s="109">
        <f>SUM(F51)</f>
        <v>840967.17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29571.42</v>
      </c>
      <c r="H617" s="109">
        <f>SUM(G51)</f>
        <v>29571.42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626786.7300000001</v>
      </c>
      <c r="H618" s="109">
        <f>SUM(H51)</f>
        <v>626786.7300000001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801123.04999999993</v>
      </c>
      <c r="H619" s="109">
        <f>SUM(I51)</f>
        <v>801123.05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215432.86</v>
      </c>
      <c r="H620" s="109">
        <f>SUM(J51)</f>
        <v>215432.86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693896.76</v>
      </c>
      <c r="H621" s="109">
        <f>F475</f>
        <v>693896.75999999791</v>
      </c>
      <c r="I621" s="121" t="s">
        <v>101</v>
      </c>
      <c r="J621" s="109">
        <f t="shared" ref="J621:J654" si="50">G621-H621</f>
        <v>2.0954757928848267E-9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6185.99</v>
      </c>
      <c r="H622" s="109">
        <f>G475</f>
        <v>6185.9899999998743</v>
      </c>
      <c r="I622" s="121" t="s">
        <v>102</v>
      </c>
      <c r="J622" s="109">
        <f t="shared" si="50"/>
        <v>1.255102688446641E-10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29280.42</v>
      </c>
      <c r="H623" s="109">
        <f>H475</f>
        <v>29280.419999999925</v>
      </c>
      <c r="I623" s="121" t="s">
        <v>103</v>
      </c>
      <c r="J623" s="109">
        <f t="shared" si="50"/>
        <v>7.2759576141834259E-11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328794.3</v>
      </c>
      <c r="H624" s="109">
        <f>I475</f>
        <v>328794.30000000005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215432.86</v>
      </c>
      <c r="H625" s="109">
        <f>J475</f>
        <v>215432.86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40670271.160000004</v>
      </c>
      <c r="H626" s="104">
        <f>SUM(F467)</f>
        <v>40670271.159999996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912319.45</v>
      </c>
      <c r="H627" s="104">
        <f>SUM(G467)</f>
        <v>912319.45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711281.13</v>
      </c>
      <c r="H628" s="104">
        <f>SUM(H467)</f>
        <v>711281.13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2522191</v>
      </c>
      <c r="H629" s="104">
        <f>SUM(I467)</f>
        <v>2522191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168095.39</v>
      </c>
      <c r="H630" s="104">
        <f>SUM(J467)</f>
        <v>168095.39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40603354.640000001</v>
      </c>
      <c r="H631" s="104">
        <f>SUM(F471)</f>
        <v>40603354.640000001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695839.05999999994</v>
      </c>
      <c r="H632" s="104">
        <f>SUM(H471)</f>
        <v>695839.06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1002.5799999999999</v>
      </c>
      <c r="H633" s="104">
        <f>I368</f>
        <v>1002.5799999999999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858237.55</v>
      </c>
      <c r="H634" s="104">
        <f>SUM(G471)</f>
        <v>858237.55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2056196.7</v>
      </c>
      <c r="H635" s="104">
        <f>SUM(I471)</f>
        <v>2056196.7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168095.39</v>
      </c>
      <c r="H636" s="164">
        <f>SUM(J467)</f>
        <v>168095.39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116416</v>
      </c>
      <c r="H637" s="164">
        <f>SUM(J471)</f>
        <v>116416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196851.03</v>
      </c>
      <c r="H638" s="104">
        <f>SUM(F460)</f>
        <v>196851.03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18581.830000000002</v>
      </c>
      <c r="H639" s="104">
        <f>SUM(G460)</f>
        <v>18581.830000000002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215432.86</v>
      </c>
      <c r="H641" s="104">
        <f>SUM(I460)</f>
        <v>215432.86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95.39</v>
      </c>
      <c r="H643" s="104">
        <f>H407</f>
        <v>95.39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168000</v>
      </c>
      <c r="H644" s="104">
        <f>G407</f>
        <v>168000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168095.39</v>
      </c>
      <c r="H645" s="104">
        <f>L407</f>
        <v>168095.39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1990226.21</v>
      </c>
      <c r="H646" s="104">
        <f>L207+L225+L243</f>
        <v>1990226.21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713087.57</v>
      </c>
      <c r="H647" s="104">
        <f>(J256+J337)-(J254+J335)</f>
        <v>713087.57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1348144.3099999998</v>
      </c>
      <c r="H648" s="104">
        <f>H597</f>
        <v>1348144.3099999998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642081.9</v>
      </c>
      <c r="H650" s="104">
        <f>J597</f>
        <v>642081.89999999991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14950.99</v>
      </c>
      <c r="H651" s="104">
        <f>K262+K344</f>
        <v>14950.99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622191</v>
      </c>
      <c r="H653" s="104">
        <f>K264+K345</f>
        <v>622191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168000</v>
      </c>
      <c r="H654" s="104">
        <f>K265+K346</f>
        <v>168000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25613918.509999994</v>
      </c>
      <c r="G659" s="19">
        <f>(L228+L308+L358)</f>
        <v>0</v>
      </c>
      <c r="H659" s="19">
        <f>(L246+L327+L359)</f>
        <v>11373824.959999999</v>
      </c>
      <c r="I659" s="19">
        <f>SUM(F659:H659)</f>
        <v>36987743.469999991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567594.69228148542</v>
      </c>
      <c r="G660" s="19">
        <f>(L358/IF(SUM(L357:L359)=0,1,SUM(L357:L359))*(SUM(G96:G109)))</f>
        <v>0</v>
      </c>
      <c r="H660" s="19">
        <f>(L359/IF(SUM(L357:L359)=0,1,SUM(L357:L359))*(SUM(G96:G109)))</f>
        <v>209932.29771851454</v>
      </c>
      <c r="I660" s="19">
        <f>SUM(F660:H660)</f>
        <v>777526.99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1348144.3099999998</v>
      </c>
      <c r="G661" s="19">
        <f>(L225+L305)-(J225+J305)</f>
        <v>0</v>
      </c>
      <c r="H661" s="19">
        <f>(L243+L324)-(J243+J324)</f>
        <v>642081.9</v>
      </c>
      <c r="I661" s="19">
        <f>SUM(F661:H661)</f>
        <v>1990226.21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1528002.06</v>
      </c>
      <c r="G662" s="200">
        <f>SUM(G574:G586)+SUM(I601:I603)+L611</f>
        <v>0</v>
      </c>
      <c r="H662" s="200">
        <f>SUM(H574:H586)+SUM(J601:J603)+L612</f>
        <v>753050.98</v>
      </c>
      <c r="I662" s="19">
        <f>SUM(F662:H662)</f>
        <v>2281053.04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22170177.447718509</v>
      </c>
      <c r="G663" s="19">
        <f>G659-SUM(G660:G662)</f>
        <v>0</v>
      </c>
      <c r="H663" s="19">
        <f>H659-SUM(H660:H662)</f>
        <v>9768759.7822814845</v>
      </c>
      <c r="I663" s="19">
        <f>I659-SUM(I660:I662)</f>
        <v>31938937.229999989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1876.04</v>
      </c>
      <c r="G664" s="249"/>
      <c r="H664" s="249">
        <v>691.82</v>
      </c>
      <c r="I664" s="19">
        <f>SUM(F664:H664)</f>
        <v>2567.86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11817.54</v>
      </c>
      <c r="G666" s="19" t="e">
        <f>ROUND(G663/G664,2)</f>
        <v>#DIV/0!</v>
      </c>
      <c r="H666" s="19">
        <f>ROUND(H663/H664,2)</f>
        <v>14120.38</v>
      </c>
      <c r="I666" s="19">
        <f>ROUND(I663/I664,2)</f>
        <v>12437.96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-9.6999999999999993</v>
      </c>
      <c r="I669" s="19">
        <f>SUM(F669:H669)</f>
        <v>-9.6999999999999993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11817.54</v>
      </c>
      <c r="G671" s="19" t="e">
        <f>ROUND((G663+G668)/(G664+G669),2)</f>
        <v>#DIV/0!</v>
      </c>
      <c r="H671" s="19">
        <f>ROUND((H663+H668)/(H664+H669),2)</f>
        <v>14321.17</v>
      </c>
      <c r="I671" s="19">
        <f>ROUND((I663+I668)/(I664+I669),2)</f>
        <v>12485.12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39" sqref="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Windham SD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10102756.67</v>
      </c>
      <c r="C9" s="230">
        <f>'DOE25'!G196+'DOE25'!G214+'DOE25'!G232+'DOE25'!G275+'DOE25'!G294+'DOE25'!G313</f>
        <v>4564654.8900000006</v>
      </c>
    </row>
    <row r="10" spans="1:3">
      <c r="A10" t="s">
        <v>779</v>
      </c>
      <c r="B10" s="241">
        <v>9416780.2699999996</v>
      </c>
      <c r="C10" s="241">
        <f>(B10/$B$9)*$C$9</f>
        <v>4254715.1744387234</v>
      </c>
    </row>
    <row r="11" spans="1:3">
      <c r="A11" t="s">
        <v>780</v>
      </c>
      <c r="B11" s="241">
        <v>263530.89</v>
      </c>
      <c r="C11" s="241">
        <f>(B11/$B$9)*$C$9</f>
        <v>119069.24070304786</v>
      </c>
    </row>
    <row r="12" spans="1:3">
      <c r="A12" t="s">
        <v>781</v>
      </c>
      <c r="B12" s="241">
        <v>422445.51</v>
      </c>
      <c r="C12" s="241">
        <f>(B12/$B$9)*$C$9</f>
        <v>190870.4748582294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10102756.67</v>
      </c>
      <c r="C13" s="232">
        <f>SUM(C10:C12)</f>
        <v>4564654.8900000006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3699003.9699999997</v>
      </c>
      <c r="C18" s="230">
        <f>'DOE25'!G197+'DOE25'!G215+'DOE25'!G233+'DOE25'!G276+'DOE25'!G295+'DOE25'!G314</f>
        <v>1732318.72</v>
      </c>
    </row>
    <row r="19" spans="1:3">
      <c r="A19" t="s">
        <v>779</v>
      </c>
      <c r="B19" s="241">
        <v>1663512.4</v>
      </c>
      <c r="C19" s="241">
        <f>(B19/$B$18)*$C$18</f>
        <v>779056.65818253451</v>
      </c>
    </row>
    <row r="20" spans="1:3">
      <c r="A20" t="s">
        <v>780</v>
      </c>
      <c r="B20" s="241">
        <v>1486960.02</v>
      </c>
      <c r="C20" s="241">
        <f>(B20/$B$18)*$C$18</f>
        <v>696373.59122314618</v>
      </c>
    </row>
    <row r="21" spans="1:3">
      <c r="A21" t="s">
        <v>781</v>
      </c>
      <c r="B21" s="241">
        <v>548531.55000000005</v>
      </c>
      <c r="C21" s="241">
        <f>(B21/$B$18)*$C$18</f>
        <v>256888.47059431949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3699003.9699999997</v>
      </c>
      <c r="C22" s="232">
        <f>SUM(C19:C21)</f>
        <v>1732318.7200000002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481378.06999999995</v>
      </c>
      <c r="C36" s="236">
        <f>'DOE25'!G199+'DOE25'!G217+'DOE25'!G235+'DOE25'!G278+'DOE25'!G297+'DOE25'!G316</f>
        <v>177785.83</v>
      </c>
    </row>
    <row r="37" spans="1:3">
      <c r="A37" t="s">
        <v>779</v>
      </c>
      <c r="B37" s="241">
        <v>68179.25</v>
      </c>
      <c r="C37" s="241">
        <f>(B37/$B$36)*$C$36</f>
        <v>25180.425336009801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413198.82</v>
      </c>
      <c r="C39" s="241">
        <f>(B39/$B$36)*$C$36</f>
        <v>152605.40466399019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481378.07</v>
      </c>
      <c r="C40" s="232">
        <f>SUM(C37:C39)</f>
        <v>177785.83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3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Windham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22718405.539999999</v>
      </c>
      <c r="D5" s="20">
        <f>SUM('DOE25'!L196:L199)+SUM('DOE25'!L214:L217)+SUM('DOE25'!L232:L235)-F5-G5</f>
        <v>22423164.560000002</v>
      </c>
      <c r="E5" s="244"/>
      <c r="F5" s="256">
        <f>SUM('DOE25'!J196:J199)+SUM('DOE25'!J214:J217)+SUM('DOE25'!J232:J235)</f>
        <v>196598.15000000002</v>
      </c>
      <c r="G5" s="53">
        <f>SUM('DOE25'!K196:K199)+SUM('DOE25'!K214:K217)+SUM('DOE25'!K232:K235)</f>
        <v>98642.83</v>
      </c>
      <c r="H5" s="260"/>
    </row>
    <row r="6" spans="1:9">
      <c r="A6" s="32">
        <v>2100</v>
      </c>
      <c r="B6" t="s">
        <v>801</v>
      </c>
      <c r="C6" s="246">
        <f t="shared" si="0"/>
        <v>3128099.6</v>
      </c>
      <c r="D6" s="20">
        <f>'DOE25'!L201+'DOE25'!L219+'DOE25'!L237-F6-G6</f>
        <v>3105940.1</v>
      </c>
      <c r="E6" s="244"/>
      <c r="F6" s="256">
        <f>'DOE25'!J201+'DOE25'!J219+'DOE25'!J237</f>
        <v>14067.42</v>
      </c>
      <c r="G6" s="53">
        <f>'DOE25'!K201+'DOE25'!K219+'DOE25'!K237</f>
        <v>8092.08</v>
      </c>
      <c r="H6" s="260"/>
    </row>
    <row r="7" spans="1:9">
      <c r="A7" s="32">
        <v>2200</v>
      </c>
      <c r="B7" t="s">
        <v>834</v>
      </c>
      <c r="C7" s="246">
        <f t="shared" si="0"/>
        <v>1988688.6</v>
      </c>
      <c r="D7" s="20">
        <f>'DOE25'!L202+'DOE25'!L220+'DOE25'!L238-F7-G7</f>
        <v>1445301.29</v>
      </c>
      <c r="E7" s="244"/>
      <c r="F7" s="256">
        <f>'DOE25'!J202+'DOE25'!J220+'DOE25'!J238</f>
        <v>466557.75</v>
      </c>
      <c r="G7" s="53">
        <f>'DOE25'!K202+'DOE25'!K220+'DOE25'!K238</f>
        <v>76829.56</v>
      </c>
      <c r="H7" s="260"/>
    </row>
    <row r="8" spans="1:9">
      <c r="A8" s="32">
        <v>2300</v>
      </c>
      <c r="B8" t="s">
        <v>802</v>
      </c>
      <c r="C8" s="246">
        <f t="shared" si="0"/>
        <v>646658.89999999991</v>
      </c>
      <c r="D8" s="244"/>
      <c r="E8" s="20">
        <f>'DOE25'!L203+'DOE25'!L221+'DOE25'!L239-F8-G8-D9-D11</f>
        <v>630329.60999999987</v>
      </c>
      <c r="F8" s="256">
        <f>'DOE25'!J203+'DOE25'!J221+'DOE25'!J239</f>
        <v>0</v>
      </c>
      <c r="G8" s="53">
        <f>'DOE25'!K203+'DOE25'!K221+'DOE25'!K239</f>
        <v>16329.289999999999</v>
      </c>
      <c r="H8" s="260"/>
    </row>
    <row r="9" spans="1:9">
      <c r="A9" s="32">
        <v>2310</v>
      </c>
      <c r="B9" t="s">
        <v>818</v>
      </c>
      <c r="C9" s="246">
        <f t="shared" si="0"/>
        <v>41651.93</v>
      </c>
      <c r="D9" s="245">
        <v>41651.93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25836</v>
      </c>
      <c r="D10" s="244"/>
      <c r="E10" s="245">
        <v>25836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164784</v>
      </c>
      <c r="D11" s="245">
        <v>164784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1466884.32</v>
      </c>
      <c r="D12" s="20">
        <f>'DOE25'!L204+'DOE25'!L222+'DOE25'!L240-F12-G12</f>
        <v>1433485.54</v>
      </c>
      <c r="E12" s="244"/>
      <c r="F12" s="256">
        <f>'DOE25'!J204+'DOE25'!J222+'DOE25'!J240</f>
        <v>6516.1</v>
      </c>
      <c r="G12" s="53">
        <f>'DOE25'!K204+'DOE25'!K222+'DOE25'!K240</f>
        <v>26882.68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3212619.76</v>
      </c>
      <c r="D14" s="20">
        <f>'DOE25'!L206+'DOE25'!L224+'DOE25'!L242-F14-G14</f>
        <v>3211160</v>
      </c>
      <c r="E14" s="244"/>
      <c r="F14" s="256">
        <f>'DOE25'!J206+'DOE25'!J224+'DOE25'!J242</f>
        <v>1459.76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1990226.21</v>
      </c>
      <c r="D15" s="20">
        <f>'DOE25'!L207+'DOE25'!L225+'DOE25'!L243-F15-G15</f>
        <v>1990226.21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75648</v>
      </c>
      <c r="D16" s="244"/>
      <c r="E16" s="20">
        <f>'DOE25'!L208+'DOE25'!L226+'DOE25'!L244-F16-G16</f>
        <v>75648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145883.29</v>
      </c>
      <c r="D22" s="244"/>
      <c r="E22" s="244"/>
      <c r="F22" s="256">
        <f>'DOE25'!L254+'DOE25'!L335</f>
        <v>145883.29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4218662.5</v>
      </c>
      <c r="D25" s="244"/>
      <c r="E25" s="244"/>
      <c r="F25" s="259"/>
      <c r="G25" s="257"/>
      <c r="H25" s="258">
        <f>'DOE25'!L259+'DOE25'!L260+'DOE25'!L340+'DOE25'!L341</f>
        <v>4218662.5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858237.55</v>
      </c>
      <c r="D29" s="20">
        <f>'DOE25'!L357+'DOE25'!L358+'DOE25'!L359-'DOE25'!I366-F29-G29</f>
        <v>858237.55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695839.05999999994</v>
      </c>
      <c r="D31" s="20">
        <f>'DOE25'!L289+'DOE25'!L308+'DOE25'!L327+'DOE25'!L332+'DOE25'!L333+'DOE25'!L334-F31-G31</f>
        <v>671880.22</v>
      </c>
      <c r="E31" s="244"/>
      <c r="F31" s="256">
        <f>'DOE25'!J289+'DOE25'!J308+'DOE25'!J327+'DOE25'!J332+'DOE25'!J333+'DOE25'!J334</f>
        <v>27888.39</v>
      </c>
      <c r="G31" s="53">
        <f>'DOE25'!K289+'DOE25'!K308+'DOE25'!K327+'DOE25'!K332+'DOE25'!K333+'DOE25'!K334</f>
        <v>-3929.55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35345831.399999999</v>
      </c>
      <c r="E33" s="247">
        <f>SUM(E5:E31)</f>
        <v>731813.60999999987</v>
      </c>
      <c r="F33" s="247">
        <f>SUM(F5:F31)</f>
        <v>858970.8600000001</v>
      </c>
      <c r="G33" s="247">
        <f>SUM(G5:G31)</f>
        <v>222846.89</v>
      </c>
      <c r="H33" s="247">
        <f>SUM(H5:H31)</f>
        <v>4218662.5</v>
      </c>
    </row>
    <row r="35" spans="2:8" ht="12" thickBot="1">
      <c r="B35" s="254" t="s">
        <v>847</v>
      </c>
      <c r="D35" s="255">
        <f>E33</f>
        <v>731813.60999999987</v>
      </c>
      <c r="E35" s="250"/>
    </row>
    <row r="36" spans="2:8" ht="12" thickTop="1">
      <c r="B36" t="s">
        <v>815</v>
      </c>
      <c r="D36" s="20">
        <f>D33</f>
        <v>35345831.399999999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Windham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460449.78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215432.86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212479.76</v>
      </c>
      <c r="D11" s="95">
        <f>'DOE25'!G12</f>
        <v>3705.17</v>
      </c>
      <c r="E11" s="95">
        <f>'DOE25'!H12</f>
        <v>72315.399999999994</v>
      </c>
      <c r="F11" s="95">
        <f>'DOE25'!I12</f>
        <v>262341.98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119862.34</v>
      </c>
      <c r="D12" s="95">
        <f>'DOE25'!G13</f>
        <v>19680.259999999998</v>
      </c>
      <c r="E12" s="95">
        <f>'DOE25'!H13</f>
        <v>550817.31000000006</v>
      </c>
      <c r="F12" s="95">
        <f>'DOE25'!I13</f>
        <v>538781.06999999995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48175.29</v>
      </c>
      <c r="D13" s="95">
        <f>'DOE25'!G14</f>
        <v>0</v>
      </c>
      <c r="E13" s="95">
        <f>'DOE25'!H14</f>
        <v>25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6185.99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3629.02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840967.17</v>
      </c>
      <c r="D18" s="41">
        <f>SUM(D8:D17)</f>
        <v>29571.42</v>
      </c>
      <c r="E18" s="41">
        <f>SUM(E8:E17)</f>
        <v>626786.7300000001</v>
      </c>
      <c r="F18" s="41">
        <f>SUM(F8:F17)</f>
        <v>801123.04999999993</v>
      </c>
      <c r="G18" s="41">
        <f>SUM(G8:G17)</f>
        <v>215432.86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550842.31000000006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946.1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53229.55</v>
      </c>
      <c r="D23" s="95">
        <f>'DOE25'!G24</f>
        <v>0</v>
      </c>
      <c r="E23" s="95">
        <f>'DOE25'!H24</f>
        <v>0</v>
      </c>
      <c r="F23" s="95">
        <f>'DOE25'!I24</f>
        <v>187340.67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48600</v>
      </c>
      <c r="D24" s="95">
        <f>'DOE25'!G25</f>
        <v>0</v>
      </c>
      <c r="E24" s="95">
        <f>'DOE25'!H25</f>
        <v>0</v>
      </c>
      <c r="F24" s="95">
        <f>'DOE25'!I25</f>
        <v>284988.08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44294.76</v>
      </c>
      <c r="D29" s="95">
        <f>'DOE25'!G30</f>
        <v>23385.43</v>
      </c>
      <c r="E29" s="95">
        <f>'DOE25'!H30</f>
        <v>46664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147070.41</v>
      </c>
      <c r="D31" s="41">
        <f>SUM(D21:D30)</f>
        <v>23385.43</v>
      </c>
      <c r="E31" s="41">
        <f>SUM(E21:E30)</f>
        <v>597506.31000000006</v>
      </c>
      <c r="F31" s="41">
        <f>SUM(F21:F30)</f>
        <v>472328.75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6185.99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29280.42</v>
      </c>
      <c r="F46" s="95">
        <f>'DOE25'!I47</f>
        <v>45086</v>
      </c>
      <c r="G46" s="95">
        <f>'DOE25'!J47</f>
        <v>215432.86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131109.5</v>
      </c>
      <c r="D47" s="95">
        <f>'DOE25'!G48</f>
        <v>0</v>
      </c>
      <c r="E47" s="95">
        <f>'DOE25'!H48</f>
        <v>0</v>
      </c>
      <c r="F47" s="95">
        <f>'DOE25'!I48</f>
        <v>283708.3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562787.26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693896.76</v>
      </c>
      <c r="D49" s="41">
        <f>SUM(D34:D48)</f>
        <v>6185.99</v>
      </c>
      <c r="E49" s="41">
        <f>SUM(E34:E48)</f>
        <v>29280.42</v>
      </c>
      <c r="F49" s="41">
        <f>SUM(F34:F48)</f>
        <v>328794.3</v>
      </c>
      <c r="G49" s="41">
        <f>SUM(G34:G48)</f>
        <v>215432.86</v>
      </c>
      <c r="H49" s="124"/>
      <c r="I49" s="124"/>
    </row>
    <row r="50" spans="1:9" ht="12" thickTop="1">
      <c r="A50" s="38" t="s">
        <v>895</v>
      </c>
      <c r="B50" s="2"/>
      <c r="C50" s="41">
        <f>C49+C31</f>
        <v>840967.17</v>
      </c>
      <c r="D50" s="41">
        <f>D49+D31</f>
        <v>29571.42</v>
      </c>
      <c r="E50" s="41">
        <f>E49+E31</f>
        <v>626786.7300000001</v>
      </c>
      <c r="F50" s="41">
        <f>F49+F31</f>
        <v>801123.05</v>
      </c>
      <c r="G50" s="41">
        <f>G49+G31</f>
        <v>215432.86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31043108</v>
      </c>
      <c r="D55" s="95">
        <f>'DOE25'!G59</f>
        <v>0</v>
      </c>
      <c r="E55" s="95">
        <f>'DOE25'!H59</f>
        <v>0</v>
      </c>
      <c r="F55" s="95">
        <f>'DOE25'!I59</f>
        <v>900000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2250</v>
      </c>
      <c r="D56" s="24" t="s">
        <v>289</v>
      </c>
      <c r="E56" s="95">
        <f>'DOE25'!H78</f>
        <v>67694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95.39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777526.99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151471.5</v>
      </c>
      <c r="D60" s="95">
        <f>SUM('DOE25'!G97:G109)</f>
        <v>0</v>
      </c>
      <c r="E60" s="95">
        <f>SUM('DOE25'!H97:H109)</f>
        <v>29915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153721.5</v>
      </c>
      <c r="D61" s="130">
        <f>SUM(D56:D60)</f>
        <v>777526.99</v>
      </c>
      <c r="E61" s="130">
        <f>SUM(E56:E60)</f>
        <v>97609</v>
      </c>
      <c r="F61" s="130">
        <f>SUM(F56:F60)</f>
        <v>0</v>
      </c>
      <c r="G61" s="130">
        <f>SUM(G56:G60)</f>
        <v>95.39</v>
      </c>
      <c r="H61"/>
      <c r="I61"/>
    </row>
    <row r="62" spans="1:9" ht="12" thickTop="1">
      <c r="A62" s="29" t="s">
        <v>175</v>
      </c>
      <c r="B62" s="6"/>
      <c r="C62" s="22">
        <f>C55+C61</f>
        <v>31196829.5</v>
      </c>
      <c r="D62" s="22">
        <f>D55+D61</f>
        <v>777526.99</v>
      </c>
      <c r="E62" s="22">
        <f>E55+E61</f>
        <v>97609</v>
      </c>
      <c r="F62" s="22">
        <f>F55+F61</f>
        <v>900000</v>
      </c>
      <c r="G62" s="22">
        <f>G55+G61</f>
        <v>95.39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2391511.91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4949753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2072.09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7343337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962986.4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118680</v>
      </c>
      <c r="D72" s="24" t="s">
        <v>289</v>
      </c>
      <c r="E72" s="24" t="s">
        <v>289</v>
      </c>
      <c r="F72" s="95">
        <f>'DOE25'!I123</f>
        <v>1000000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294975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313050.28000000003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1941.42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8965.51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1691633.0999999999</v>
      </c>
      <c r="D77" s="130">
        <f>SUM(D71:D76)</f>
        <v>8965.51</v>
      </c>
      <c r="E77" s="130">
        <f>SUM(E71:E76)</f>
        <v>0</v>
      </c>
      <c r="F77" s="130">
        <f>SUM(F71:F76)</f>
        <v>1000000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9034970.0999999996</v>
      </c>
      <c r="D80" s="130">
        <f>SUM(D78:D79)+D77+D69</f>
        <v>8965.51</v>
      </c>
      <c r="E80" s="130">
        <f>SUM(E78:E79)+E77+E69</f>
        <v>0</v>
      </c>
      <c r="F80" s="130">
        <f>SUM(F78:F79)+F77+F69</f>
        <v>1000000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158015.14000000001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164037.18</v>
      </c>
      <c r="D87" s="95">
        <f>SUM('DOE25'!G152:G160)</f>
        <v>110875.96</v>
      </c>
      <c r="E87" s="95">
        <f>SUM('DOE25'!H152:H160)</f>
        <v>613672.13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322052.32</v>
      </c>
      <c r="D90" s="131">
        <f>SUM(D84:D89)</f>
        <v>110875.96</v>
      </c>
      <c r="E90" s="131">
        <f>SUM(E84:E89)</f>
        <v>613672.13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14950.99</v>
      </c>
      <c r="E95" s="95">
        <f>'DOE25'!H178</f>
        <v>0</v>
      </c>
      <c r="F95" s="95">
        <f>'DOE25'!I178</f>
        <v>622191</v>
      </c>
      <c r="G95" s="95">
        <f>'DOE25'!J178</f>
        <v>168000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116419.24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116419.24</v>
      </c>
      <c r="D102" s="86">
        <f>SUM(D92:D101)</f>
        <v>14950.99</v>
      </c>
      <c r="E102" s="86">
        <f>SUM(E92:E101)</f>
        <v>0</v>
      </c>
      <c r="F102" s="86">
        <f>SUM(F92:F101)</f>
        <v>622191</v>
      </c>
      <c r="G102" s="86">
        <f>SUM(G92:G101)</f>
        <v>168000</v>
      </c>
    </row>
    <row r="103" spans="1:7" ht="12.75" thickTop="1" thickBot="1">
      <c r="A103" s="33" t="s">
        <v>765</v>
      </c>
      <c r="C103" s="86">
        <f>C62+C80+C90+C102</f>
        <v>40670271.160000004</v>
      </c>
      <c r="D103" s="86">
        <f>D62+D80+D90+D102</f>
        <v>912319.45</v>
      </c>
      <c r="E103" s="86">
        <f>E62+E80+E90+E102</f>
        <v>711281.13</v>
      </c>
      <c r="F103" s="86">
        <f>F62+F80+F90+F102</f>
        <v>2522191</v>
      </c>
      <c r="G103" s="86">
        <f>G62+G80+G102</f>
        <v>168095.39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15368136.539999999</v>
      </c>
      <c r="D108" s="24" t="s">
        <v>289</v>
      </c>
      <c r="E108" s="95">
        <f>('DOE25'!L275)+('DOE25'!L294)+('DOE25'!L313)</f>
        <v>135381.60999999999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6528444.9299999978</v>
      </c>
      <c r="D109" s="24" t="s">
        <v>289</v>
      </c>
      <c r="E109" s="95">
        <f>('DOE25'!L276)+('DOE25'!L295)+('DOE25'!L314)</f>
        <v>473925.61999999994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821824.07</v>
      </c>
      <c r="D111" s="24" t="s">
        <v>289</v>
      </c>
      <c r="E111" s="95">
        <f>+('DOE25'!L278)+('DOE25'!L297)+('DOE25'!L316)</f>
        <v>67694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22718405.539999999</v>
      </c>
      <c r="D114" s="86">
        <f>SUM(D108:D113)</f>
        <v>0</v>
      </c>
      <c r="E114" s="86">
        <f>SUM(E108:E113)</f>
        <v>677001.23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3128099.6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1988688.6</v>
      </c>
      <c r="D118" s="24" t="s">
        <v>289</v>
      </c>
      <c r="E118" s="95">
        <f>+('DOE25'!L281)+('DOE25'!L300)+('DOE25'!L319)</f>
        <v>18837.830000000002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853094.83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1466884.32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3212619.76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1990226.21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75648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858237.55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12715261.32</v>
      </c>
      <c r="D127" s="86">
        <f>SUM(D117:D126)</f>
        <v>858237.55</v>
      </c>
      <c r="E127" s="86">
        <f>SUM(E117:E126)</f>
        <v>18837.830000000002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145883.29</v>
      </c>
      <c r="D129" s="24" t="s">
        <v>289</v>
      </c>
      <c r="E129" s="129">
        <f>'DOE25'!L335</f>
        <v>0</v>
      </c>
      <c r="F129" s="129">
        <f>SUM('DOE25'!L373:'DOE25'!L379)</f>
        <v>2056196.7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2955000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1263662.5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116416</v>
      </c>
    </row>
    <row r="134" spans="1:7">
      <c r="A134" t="s">
        <v>233</v>
      </c>
      <c r="B134" s="32" t="s">
        <v>234</v>
      </c>
      <c r="C134" s="95">
        <f>'DOE25'!L262</f>
        <v>14950.99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622191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168050.82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44.57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-95.39000000001397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5169687.7800000012</v>
      </c>
      <c r="D143" s="141">
        <f>SUM(D129:D142)</f>
        <v>0</v>
      </c>
      <c r="E143" s="141">
        <f>SUM(E129:E142)</f>
        <v>0</v>
      </c>
      <c r="F143" s="141">
        <f>SUM(F129:F142)</f>
        <v>2056196.7</v>
      </c>
      <c r="G143" s="141">
        <f>SUM(G129:G142)</f>
        <v>116416</v>
      </c>
    </row>
    <row r="144" spans="1:7" ht="12.75" thickTop="1" thickBot="1">
      <c r="A144" s="33" t="s">
        <v>244</v>
      </c>
      <c r="C144" s="86">
        <f>(C114+C127+C143)</f>
        <v>40603354.640000001</v>
      </c>
      <c r="D144" s="86">
        <f>(D114+D127+D143)</f>
        <v>858237.55</v>
      </c>
      <c r="E144" s="86">
        <f>(E114+E127+E143)</f>
        <v>695839.05999999994</v>
      </c>
      <c r="F144" s="86">
        <f>(F114+F127+F143)</f>
        <v>2056196.7</v>
      </c>
      <c r="G144" s="86">
        <f>(G114+G127+G143)</f>
        <v>116416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06/05</v>
      </c>
      <c r="C151" s="152" t="str">
        <f>'DOE25'!G490</f>
        <v>06/08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07/25</v>
      </c>
      <c r="C152" s="152" t="str">
        <f>'DOE25'!G491</f>
        <v>06/18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42753296</v>
      </c>
      <c r="C153" s="137">
        <f>'DOE25'!G492</f>
        <v>4000000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3.92</v>
      </c>
      <c r="C154" s="137">
        <f>'DOE25'!G493</f>
        <v>3.69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29855000</v>
      </c>
      <c r="C155" s="137">
        <f>'DOE25'!G494</f>
        <v>2990000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32845000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2580000</v>
      </c>
      <c r="C157" s="137">
        <f>'DOE25'!G496</f>
        <v>375000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2955000</v>
      </c>
    </row>
    <row r="158" spans="1:9">
      <c r="A158" s="22" t="s">
        <v>35</v>
      </c>
      <c r="B158" s="137">
        <f>'DOE25'!F497</f>
        <v>27275000</v>
      </c>
      <c r="C158" s="137">
        <f>'DOE25'!G497</f>
        <v>2615000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29890000</v>
      </c>
    </row>
    <row r="159" spans="1:9">
      <c r="A159" s="22" t="s">
        <v>36</v>
      </c>
      <c r="B159" s="137">
        <f>'DOE25'!F498</f>
        <v>6946593.3799999999</v>
      </c>
      <c r="C159" s="137">
        <f>'DOE25'!G498</f>
        <v>478725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7425318.3799999999</v>
      </c>
    </row>
    <row r="160" spans="1:9">
      <c r="A160" s="22" t="s">
        <v>37</v>
      </c>
      <c r="B160" s="137">
        <f>'DOE25'!F499</f>
        <v>34221593.380000003</v>
      </c>
      <c r="C160" s="137">
        <f>'DOE25'!G499</f>
        <v>3093725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37315318.380000003</v>
      </c>
    </row>
    <row r="161" spans="1:7">
      <c r="A161" s="22" t="s">
        <v>38</v>
      </c>
      <c r="B161" s="137">
        <f>'DOE25'!F500</f>
        <v>2580000</v>
      </c>
      <c r="C161" s="137">
        <f>'DOE25'!G500</f>
        <v>375000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2955000</v>
      </c>
    </row>
    <row r="162" spans="1:7">
      <c r="A162" s="22" t="s">
        <v>39</v>
      </c>
      <c r="B162" s="137">
        <f>'DOE25'!F501</f>
        <v>1021187.5</v>
      </c>
      <c r="C162" s="137">
        <f>'DOE25'!G501</f>
        <v>126975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1148162.5</v>
      </c>
    </row>
    <row r="163" spans="1:7">
      <c r="A163" s="22" t="s">
        <v>246</v>
      </c>
      <c r="B163" s="137">
        <f>'DOE25'!F502</f>
        <v>3601187.5</v>
      </c>
      <c r="C163" s="137">
        <f>'DOE25'!G502</f>
        <v>501975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4103162.5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Windham SD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11818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14321</v>
      </c>
    </row>
    <row r="7" spans="1:4">
      <c r="B7" t="s">
        <v>705</v>
      </c>
      <c r="C7" s="179">
        <f>IF('DOE25'!I664+'DOE25'!I669=0,0,ROUND('DOE25'!I671,0))</f>
        <v>12485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15503518</v>
      </c>
      <c r="D10" s="182">
        <f>ROUND((C10/$C$28)*100,1)</f>
        <v>41.4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7002371</v>
      </c>
      <c r="D11" s="182">
        <f>ROUND((C11/$C$28)*100,1)</f>
        <v>18.7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889518</v>
      </c>
      <c r="D13" s="182">
        <f>ROUND((C13/$C$28)*100,1)</f>
        <v>2.4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3128100</v>
      </c>
      <c r="D15" s="182">
        <f t="shared" ref="D15:D27" si="0">ROUND((C15/$C$28)*100,1)</f>
        <v>8.3000000000000007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2007526</v>
      </c>
      <c r="D16" s="182">
        <f t="shared" si="0"/>
        <v>5.4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928743</v>
      </c>
      <c r="D17" s="182">
        <f t="shared" si="0"/>
        <v>2.5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1466884</v>
      </c>
      <c r="D18" s="182">
        <f t="shared" si="0"/>
        <v>3.9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3212620</v>
      </c>
      <c r="D20" s="182">
        <f t="shared" si="0"/>
        <v>8.6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1990226</v>
      </c>
      <c r="D21" s="182">
        <f t="shared" si="0"/>
        <v>5.3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1263663</v>
      </c>
      <c r="D25" s="182">
        <f t="shared" si="0"/>
        <v>3.4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80711.010000000009</v>
      </c>
      <c r="D27" s="182">
        <f t="shared" si="0"/>
        <v>0.2</v>
      </c>
    </row>
    <row r="28" spans="1:4">
      <c r="B28" s="187" t="s">
        <v>723</v>
      </c>
      <c r="C28" s="180">
        <f>SUM(C10:C27)</f>
        <v>37473880.009999998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2202080</v>
      </c>
    </row>
    <row r="30" spans="1:4">
      <c r="B30" s="187" t="s">
        <v>729</v>
      </c>
      <c r="C30" s="180">
        <f>SUM(C28:C29)</f>
        <v>39675960.009999998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2955000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31943108</v>
      </c>
      <c r="D35" s="182">
        <f t="shared" ref="D35:D40" si="1">ROUND((C35/$C$41)*100,1)</f>
        <v>73.8</v>
      </c>
    </row>
    <row r="36" spans="1:4">
      <c r="B36" s="185" t="s">
        <v>743</v>
      </c>
      <c r="C36" s="179">
        <f>SUM('DOE25'!F111:J111)-SUM('DOE25'!G96:G109)+('DOE25'!F173+'DOE25'!F174+'DOE25'!I173+'DOE25'!I174)-C35</f>
        <v>251425.8900000006</v>
      </c>
      <c r="D36" s="182">
        <f t="shared" si="1"/>
        <v>0.6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7343337</v>
      </c>
      <c r="D37" s="182">
        <f t="shared" si="1"/>
        <v>17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2700599</v>
      </c>
      <c r="D38" s="182">
        <f t="shared" si="1"/>
        <v>6.2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1046600</v>
      </c>
      <c r="D39" s="182">
        <f t="shared" si="1"/>
        <v>2.4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43285069.890000001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5" sqref="C15:M15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Windham SD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>
        <v>19</v>
      </c>
      <c r="B4" s="220">
        <v>1</v>
      </c>
      <c r="C4" s="281" t="s">
        <v>913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 t="s">
        <v>914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>
        <v>21</v>
      </c>
      <c r="B6" s="220">
        <v>21</v>
      </c>
      <c r="C6" s="281" t="s">
        <v>915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 t="s">
        <v>916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7:M7"/>
    <mergeCell ref="C87:M87"/>
    <mergeCell ref="C88:M88"/>
    <mergeCell ref="C83:M83"/>
    <mergeCell ref="C84:M84"/>
    <mergeCell ref="C85:M85"/>
    <mergeCell ref="C86:M86"/>
    <mergeCell ref="C75:M75"/>
    <mergeCell ref="C76:M76"/>
    <mergeCell ref="C79:M79"/>
    <mergeCell ref="C80:M80"/>
    <mergeCell ref="C33:M33"/>
    <mergeCell ref="C37:M37"/>
    <mergeCell ref="C38:M38"/>
    <mergeCell ref="C39:M39"/>
    <mergeCell ref="C34:M34"/>
    <mergeCell ref="C35:M35"/>
    <mergeCell ref="C36:M36"/>
    <mergeCell ref="C46:M46"/>
    <mergeCell ref="C89:M89"/>
    <mergeCell ref="C69:M69"/>
    <mergeCell ref="C70:M70"/>
    <mergeCell ref="A72:E72"/>
    <mergeCell ref="C77:M77"/>
    <mergeCell ref="C90:M90"/>
    <mergeCell ref="C21:M21"/>
    <mergeCell ref="C22:M22"/>
    <mergeCell ref="C23:M23"/>
    <mergeCell ref="C24:M24"/>
    <mergeCell ref="C29:M29"/>
    <mergeCell ref="C25:M25"/>
    <mergeCell ref="C81:M81"/>
    <mergeCell ref="C82:M82"/>
    <mergeCell ref="C78:M78"/>
    <mergeCell ref="C73:M73"/>
    <mergeCell ref="C74:M74"/>
    <mergeCell ref="C62:M62"/>
    <mergeCell ref="C63:M63"/>
    <mergeCell ref="C64:M64"/>
    <mergeCell ref="C65:M65"/>
    <mergeCell ref="C66:M66"/>
    <mergeCell ref="C67:M67"/>
    <mergeCell ref="C68:M68"/>
    <mergeCell ref="A1:I1"/>
    <mergeCell ref="C3:M3"/>
    <mergeCell ref="C4:M4"/>
    <mergeCell ref="F2:I2"/>
    <mergeCell ref="A2:E2"/>
    <mergeCell ref="C13:M13"/>
    <mergeCell ref="C27:M27"/>
    <mergeCell ref="C28:M28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26:M26"/>
    <mergeCell ref="C5:M5"/>
    <mergeCell ref="C8:M8"/>
    <mergeCell ref="C9:M9"/>
    <mergeCell ref="C10:M10"/>
    <mergeCell ref="AP29:AZ29"/>
    <mergeCell ref="C18:M18"/>
    <mergeCell ref="C19:M19"/>
    <mergeCell ref="C32:M32"/>
    <mergeCell ref="C30:M30"/>
    <mergeCell ref="C31:M31"/>
    <mergeCell ref="P31:Z31"/>
    <mergeCell ref="AC31:AM31"/>
    <mergeCell ref="C11:M11"/>
    <mergeCell ref="C12:M12"/>
    <mergeCell ref="P29:Z29"/>
    <mergeCell ref="AC29:AM29"/>
    <mergeCell ref="C20:M20"/>
    <mergeCell ref="C14:M14"/>
    <mergeCell ref="C15:M15"/>
    <mergeCell ref="C16:M16"/>
    <mergeCell ref="C17:M17"/>
    <mergeCell ref="AP31:AZ31"/>
    <mergeCell ref="P32:Z32"/>
    <mergeCell ref="C6:M6"/>
    <mergeCell ref="HP29:HZ29"/>
    <mergeCell ref="IC29:IM29"/>
    <mergeCell ref="EP29:EZ29"/>
    <mergeCell ref="FC29:FM29"/>
    <mergeCell ref="FP29:FZ29"/>
    <mergeCell ref="GC29:GM29"/>
    <mergeCell ref="GP29:GZ29"/>
    <mergeCell ref="HC29:HM29"/>
    <mergeCell ref="CC29:CM29"/>
    <mergeCell ref="BC29:BM29"/>
    <mergeCell ref="BP29:BZ29"/>
    <mergeCell ref="AC38:AM38"/>
    <mergeCell ref="AP38:AZ38"/>
    <mergeCell ref="P39:Z39"/>
    <mergeCell ref="AC39:AM39"/>
    <mergeCell ref="P38:Z38"/>
    <mergeCell ref="IP29:IV29"/>
    <mergeCell ref="C42:M42"/>
    <mergeCell ref="P30:Z30"/>
    <mergeCell ref="AC30:AM30"/>
    <mergeCell ref="AP30:AZ30"/>
    <mergeCell ref="C41:M41"/>
    <mergeCell ref="CC30:CM30"/>
    <mergeCell ref="CP30:CZ30"/>
    <mergeCell ref="DC30:DM30"/>
    <mergeCell ref="CP29:CZ29"/>
    <mergeCell ref="DC29:DM29"/>
    <mergeCell ref="DP29:DZ29"/>
    <mergeCell ref="EC29:EM29"/>
    <mergeCell ref="BC38:BM38"/>
    <mergeCell ref="AC32:AM32"/>
    <mergeCell ref="AP32:AZ32"/>
    <mergeCell ref="DP30:D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BC30:BM30"/>
    <mergeCell ref="BP30:BZ30"/>
    <mergeCell ref="BP32:BZ32"/>
    <mergeCell ref="BP38:BZ38"/>
    <mergeCell ref="CC38:CM38"/>
    <mergeCell ref="CC32:CM32"/>
    <mergeCell ref="CP38:CZ38"/>
    <mergeCell ref="EC38:EM38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GP32:GZ32"/>
    <mergeCell ref="EP38:EZ38"/>
    <mergeCell ref="FC38:FM38"/>
    <mergeCell ref="FP38:FZ38"/>
    <mergeCell ref="FP32:FZ32"/>
    <mergeCell ref="GC32:GM32"/>
    <mergeCell ref="GC38:GM38"/>
    <mergeCell ref="EC32:EM32"/>
    <mergeCell ref="DC38:DM38"/>
    <mergeCell ref="DP38:DZ38"/>
    <mergeCell ref="IP39:IV39"/>
    <mergeCell ref="EP39:EZ39"/>
    <mergeCell ref="FC39:FM39"/>
    <mergeCell ref="FP39:FZ39"/>
    <mergeCell ref="GP39:GZ39"/>
    <mergeCell ref="IC39:IM39"/>
    <mergeCell ref="IP38:IV38"/>
    <mergeCell ref="GP38:GZ38"/>
    <mergeCell ref="HC38:HM38"/>
    <mergeCell ref="HP38:HZ38"/>
    <mergeCell ref="IC38:IM38"/>
    <mergeCell ref="DC32:DM32"/>
    <mergeCell ref="DP32:DZ32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C39:CM39"/>
    <mergeCell ref="CP39:CZ39"/>
    <mergeCell ref="IC40:IM40"/>
    <mergeCell ref="IP40:IV40"/>
    <mergeCell ref="C45:M45"/>
    <mergeCell ref="FC40:FM40"/>
    <mergeCell ref="FP40:FZ40"/>
    <mergeCell ref="CC40:CM40"/>
    <mergeCell ref="CP40:CZ40"/>
    <mergeCell ref="DC40:DM40"/>
    <mergeCell ref="DP40:DZ40"/>
    <mergeCell ref="HP40:HZ40"/>
    <mergeCell ref="GC40:GM40"/>
    <mergeCell ref="GP40:GZ40"/>
    <mergeCell ref="HC40:HM40"/>
    <mergeCell ref="EC40:EM40"/>
    <mergeCell ref="C44:M44"/>
    <mergeCell ref="C43:M43"/>
    <mergeCell ref="BC40:BM40"/>
    <mergeCell ref="BP40:BZ40"/>
    <mergeCell ref="EP40:EZ40"/>
    <mergeCell ref="C40:M40"/>
    <mergeCell ref="P40:Z40"/>
    <mergeCell ref="AC40:A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2012-11-01T14:02:17Z</cp:lastPrinted>
  <dcterms:created xsi:type="dcterms:W3CDTF">1997-12-04T19:04:30Z</dcterms:created>
  <dcterms:modified xsi:type="dcterms:W3CDTF">2012-11-21T17:58:47Z</dcterms:modified>
</cp:coreProperties>
</file>