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22140" windowHeight="11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32" i="1" l="1"/>
  <c r="C10" i="12"/>
  <c r="C12" i="12"/>
  <c r="C11" i="12"/>
  <c r="C19" i="12"/>
  <c r="C21" i="12"/>
  <c r="C20" i="12"/>
  <c r="K320" i="1" l="1"/>
  <c r="K532" i="1"/>
  <c r="G522" i="1"/>
  <c r="F522" i="1"/>
  <c r="I612" i="1"/>
  <c r="J522" i="1"/>
  <c r="I522" i="1"/>
  <c r="H522" i="1"/>
  <c r="G532" i="1"/>
  <c r="G232" i="1"/>
  <c r="G240" i="1"/>
  <c r="G238" i="1"/>
  <c r="G235" i="1"/>
  <c r="F527" i="1"/>
  <c r="J603" i="1"/>
  <c r="I313" i="1"/>
  <c r="H153" i="1"/>
  <c r="H154" i="1"/>
  <c r="B19" i="12" l="1"/>
  <c r="B12" i="12"/>
  <c r="B20" i="12"/>
  <c r="B21" i="12"/>
  <c r="B11" i="12"/>
  <c r="B10" i="12"/>
  <c r="F314" i="1"/>
  <c r="F313" i="1"/>
  <c r="J590" i="1"/>
  <c r="J592" i="1"/>
  <c r="F532" i="1"/>
  <c r="F501" i="1"/>
  <c r="F496" i="1"/>
  <c r="J242" i="1"/>
  <c r="J238" i="1"/>
  <c r="I238" i="1"/>
  <c r="I237" i="1"/>
  <c r="I235" i="1"/>
  <c r="H242" i="1"/>
  <c r="H238" i="1"/>
  <c r="H237" i="1"/>
  <c r="H243" i="1"/>
  <c r="H239" i="1"/>
  <c r="H233" i="1"/>
  <c r="F242" i="1"/>
  <c r="F238" i="1"/>
  <c r="F237" i="1"/>
  <c r="F235" i="1"/>
  <c r="F109" i="1"/>
  <c r="F100" i="1"/>
  <c r="F29" i="1"/>
  <c r="F28" i="1"/>
  <c r="F9" i="1"/>
  <c r="G439" i="1" l="1"/>
  <c r="H396" i="1"/>
  <c r="H395" i="1"/>
  <c r="I359" i="1"/>
  <c r="H366" i="1"/>
  <c r="H35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F660" i="1" s="1"/>
  <c r="I366" i="1"/>
  <c r="J289" i="1"/>
  <c r="J308" i="1"/>
  <c r="J327" i="1"/>
  <c r="F31" i="13" s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G660" i="1"/>
  <c r="F661" i="1"/>
  <c r="G661" i="1"/>
  <c r="H661" i="1"/>
  <c r="I668" i="1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I337" i="1" s="1"/>
  <c r="I351" i="1" s="1"/>
  <c r="F336" i="1"/>
  <c r="G336" i="1"/>
  <c r="H336" i="1"/>
  <c r="I336" i="1"/>
  <c r="J336" i="1"/>
  <c r="J337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L256" i="1" s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K337" i="1" l="1"/>
  <c r="K351" i="1" s="1"/>
  <c r="C15" i="10"/>
  <c r="F544" i="1"/>
  <c r="G33" i="13"/>
  <c r="F139" i="1"/>
  <c r="J641" i="1"/>
  <c r="A22" i="12"/>
  <c r="E90" i="2"/>
  <c r="H660" i="1"/>
  <c r="H663" i="1" s="1"/>
  <c r="L361" i="1"/>
  <c r="D50" i="2"/>
  <c r="C80" i="2"/>
  <c r="E77" i="2"/>
  <c r="E80" i="2" s="1"/>
  <c r="E103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C39" i="10" s="1"/>
  <c r="J270" i="1"/>
  <c r="H647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K551" i="1" s="1"/>
  <c r="F143" i="2"/>
  <c r="F144" i="2" s="1"/>
  <c r="H192" i="1" l="1"/>
  <c r="G628" i="1" s="1"/>
  <c r="J628" i="1" s="1"/>
  <c r="J647" i="1"/>
  <c r="F192" i="1"/>
  <c r="G626" i="1" s="1"/>
  <c r="J626" i="1" s="1"/>
  <c r="H671" i="1"/>
  <c r="C6" i="10" s="1"/>
  <c r="H666" i="1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C28" i="10" l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3" i="10" l="1"/>
  <c r="D24" i="10"/>
  <c r="D22" i="10"/>
  <c r="D17" i="10"/>
  <c r="D25" i="10"/>
  <c r="C30" i="10"/>
  <c r="D11" i="10"/>
  <c r="D15" i="10"/>
  <c r="D19" i="10"/>
  <c r="D16" i="10"/>
  <c r="D12" i="10"/>
  <c r="D21" i="10"/>
  <c r="D26" i="10"/>
  <c r="D18" i="10"/>
  <c r="D13" i="10"/>
  <c r="D20" i="10"/>
  <c r="D10" i="10"/>
  <c r="D27" i="10"/>
  <c r="D41" i="10"/>
  <c r="I666" i="1"/>
  <c r="I671" i="1"/>
  <c r="C7" i="10" s="1"/>
  <c r="G671" i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<sst xmlns="http://schemas.openxmlformats.org/spreadsheetml/2006/main" count="3945" uniqueCount="912">
  <si>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</si>
  <si>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</si>
  <si>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</si>
  <si>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</si>
  <si>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</si>
  <si>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</si>
  <si>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</si>
  <si>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</si>
  <si>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</si>
  <si>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</si>
  <si>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</si>
  <si>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</si>
  <si>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</si>
  <si>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</si>
  <si>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</si>
  <si>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</si>
  <si>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</si>
  <si>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</si>
  <si>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</si>
  <si>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</si>
  <si>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</si>
  <si>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</si>
  <si>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</si>
  <si>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</si>
  <si>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</si>
  <si>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</si>
  <si>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</si>
  <si>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</si>
  <si>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</si>
  <si>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</si>
  <si>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</si>
  <si>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</si>
  <si>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</si>
  <si>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</si>
  <si>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</si>
  <si>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</si>
  <si>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</si>
  <si>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</si>
  <si>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</si>
  <si>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</si>
  <si>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</si>
  <si>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</si>
  <si>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</si>
  <si>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</si>
  <si>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</si>
  <si>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</si>
  <si>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</si>
  <si>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</si>
  <si>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</si>
  <si>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</si>
  <si>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</si>
  <si>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</si>
  <si>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</si>
  <si>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</si>
  <si>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</si>
  <si>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</si>
  <si>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</si>
  <si>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</si>
  <si>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</si>
  <si>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</si>
  <si>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</si>
  <si>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</si>
  <si>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</si>
  <si>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</si>
  <si>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</si>
  <si>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</si>
  <si>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</si>
  <si>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</si>
  <si>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</si>
  <si>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</si>
  <si>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</si>
  <si>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</si>
  <si>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</si>
  <si>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</si>
  <si>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</si>
  <si>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</si>
  <si>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</si>
  <si>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</si>
  <si>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</si>
  <si>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</si>
  <si>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</si>
  <si>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</si>
  <si>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</si>
  <si>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</si>
  <si>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</si>
  <si>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</si>
  <si>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</si>
  <si>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</si>
  <si>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</si>
  <si>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</si>
  <si>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</si>
  <si>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</si>
  <si>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</si>
  <si>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</si>
  <si>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</si>
  <si>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</si>
  <si>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</si>
  <si>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</si>
  <si>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</si>
  <si>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</si>
  <si>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</si>
  <si>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</si>
  <si>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</si>
  <si>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</si>
  <si>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</si>
  <si>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</si>
  <si>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</si>
  <si>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</si>
  <si>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</si>
  <si>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</si>
  <si>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</si>
  <si>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</si>
  <si>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</si>
  <si>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</si>
  <si>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</si>
  <si>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</si>
  <si>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</si>
  <si>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</si>
  <si>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</si>
  <si>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</si>
  <si>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</si>
  <si>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</si>
  <si>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</si>
  <si>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</si>
  <si>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</si>
  <si>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</si>
  <si>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</si>
  <si>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</si>
  <si>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</si>
  <si>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</si>
  <si>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</si>
  <si>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</si>
  <si>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</si>
  <si>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</si>
  <si>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</si>
  <si>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</si>
  <si>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</si>
  <si>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</si>
  <si>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</si>
  <si>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</si>
  <si>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</si>
  <si>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</si>
  <si>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</si>
  <si>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</si>
  <si>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</si>
  <si>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</si>
  <si>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</si>
  <si>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</si>
  <si>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</si>
  <si>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</si>
  <si>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</si>
  <si>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</si>
  <si>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</si>
  <si>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</si>
  <si>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</si>
  <si>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</si>
  <si>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</si>
  <si>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</si>
  <si>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</si>
  <si>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</si>
  <si>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</si>
  <si>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</si>
  <si>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</si>
  <si>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</si>
  <si>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</si>
  <si>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</si>
  <si>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</si>
  <si>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</si>
  <si>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</si>
  <si>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</si>
  <si>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</si>
  <si>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</si>
  <si>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</si>
  <si>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</si>
  <si>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</si>
  <si>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</si>
  <si>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</si>
  <si>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</si>
  <si>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</si>
  <si>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</si>
  <si>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</si>
  <si>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</si>
  <si>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</si>
  <si>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</si>
  <si>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</si>
  <si>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</si>
  <si>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</si>
  <si>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</si>
  <si>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</si>
  <si>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</si>
  <si>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</si>
  <si>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</si>
  <si>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</si>
  <si>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</si>
  <si>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</si>
  <si>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</si>
  <si>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</si>
  <si>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</si>
  <si>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</si>
  <si>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</si>
  <si>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</si>
  <si>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</si>
  <si>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</si>
  <si>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</si>
  <si>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</si>
  <si>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</si>
  <si>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</si>
  <si>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</si>
  <si>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</si>
  <si>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</si>
  <si>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</si>
  <si>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</si>
  <si>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</si>
  <si>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</si>
  <si>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</si>
  <si>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</si>
  <si>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</si>
  <si>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</si>
  <si>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</si>
  <si>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</si>
  <si>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</si>
  <si>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</si>
  <si>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</si>
  <si>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</si>
  <si>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</si>
  <si>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</si>
  <si>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</si>
  <si>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</si>
  <si>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</si>
  <si>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</si>
  <si>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</si>
  <si>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</si>
  <si>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</si>
  <si>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</si>
  <si>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</si>
  <si>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</si>
  <si>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</si>
  <si>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</si>
  <si>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</si>
  <si>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</si>
  <si>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</si>
  <si>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</si>
  <si>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</si>
  <si>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</si>
  <si>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</si>
  <si>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</si>
  <si>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</si>
  <si>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</si>
  <si>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</si>
  <si>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</si>
  <si>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</si>
  <si>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</si>
  <si>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</si>
  <si>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</si>
  <si>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</si>
  <si>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</si>
  <si>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</si>
  <si>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</si>
  <si>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</si>
  <si>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</si>
  <si>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</si>
  <si>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</si>
  <si>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</si>
  <si>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</si>
  <si>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</si>
  <si>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</si>
  <si>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</si>
  <si>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</si>
  <si>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</si>
  <si>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</si>
  <si>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</si>
  <si>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</si>
  <si>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</si>
  <si>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</si>
  <si>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</si>
  <si>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</si>
  <si>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</si>
  <si>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</si>
  <si>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</si>
  <si>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</si>
  <si>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</si>
  <si>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</si>
  <si>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</si>
  <si>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</si>
  <si>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</si>
  <si>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</si>
  <si>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</si>
  <si>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</si>
  <si>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</si>
  <si>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</si>
  <si>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</si>
  <si>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</si>
  <si>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</si>
  <si>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</si>
  <si>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</si>
  <si>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</si>
  <si>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</si>
  <si>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</si>
  <si>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</si>
  <si>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</si>
  <si>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</si>
  <si>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</si>
  <si>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</si>
  <si>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</si>
  <si>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</si>
  <si>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</si>
  <si>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</si>
  <si>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</si>
  <si>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</si>
  <si>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</si>
  <si>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</si>
  <si>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</si>
  <si>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</si>
  <si>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</si>
  <si>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</si>
  <si>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</si>
  <si>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</si>
  <si>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</si>
  <si>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</si>
  <si>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</si>
  <si>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</si>
  <si>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</si>
  <si>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</si>
  <si>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</si>
  <si>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</si>
  <si>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</si>
  <si>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</si>
  <si>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</si>
  <si>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</si>
  <si>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</si>
  <si>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</si>
  <si>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</si>
  <si>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</si>
  <si>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</si>
  <si>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</si>
  <si>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</si>
  <si>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</si>
  <si>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</si>
  <si>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</si>
  <si>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</si>
  <si>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</si>
  <si>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</si>
  <si>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</si>
  <si>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</si>
  <si>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</si>
  <si>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</si>
  <si>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</si>
  <si>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</si>
  <si>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</si>
  <si>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</si>
  <si>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</si>
  <si>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</si>
  <si>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</si>
  <si>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</si>
  <si>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</si>
  <si>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</si>
  <si>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</si>
  <si>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</si>
  <si>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</si>
  <si>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</si>
  <si>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</si>
  <si>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</si>
  <si>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</si>
  <si>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</si>
  <si>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</si>
  <si>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</si>
  <si>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</si>
  <si>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</si>
  <si>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</si>
  <si>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</si>
  <si>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</si>
  <si>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</si>
  <si>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</si>
  <si>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</si>
  <si>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</si>
  <si>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</si>
  <si>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</si>
  <si>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</si>
  <si>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</si>
  <si>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</si>
  <si>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</si>
  <si>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</si>
  <si>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</si>
  <si>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</si>
  <si>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</si>
  <si>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</si>
  <si>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</si>
  <si>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</si>
  <si>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</si>
  <si>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</si>
  <si>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</si>
  <si>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</si>
  <si>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</si>
  <si>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</si>
  <si>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</si>
  <si>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</si>
  <si>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</si>
  <si>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</si>
  <si>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</si>
  <si>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</si>
  <si>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</si>
  <si>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</si>
  <si>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</si>
  <si>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</si>
  <si>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</si>
  <si>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</si>
  <si>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</si>
  <si>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</si>
  <si>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</si>
  <si>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</si>
  <si>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</si>
  <si>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</si>
  <si>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</si>
  <si>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</si>
  <si>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</si>
  <si>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</si>
  <si>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</si>
  <si>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</si>
  <si>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</si>
  <si>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</si>
  <si>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</si>
  <si>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</si>
  <si>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</si>
  <si>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</si>
  <si>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</si>
  <si>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</si>
  <si>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</si>
  <si>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</si>
  <si>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</si>
  <si>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</si>
  <si>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</si>
  <si>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</si>
  <si>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</si>
  <si>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</si>
  <si>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</si>
  <si>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</si>
  <si>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</si>
  <si>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</si>
  <si>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</si>
  <si>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</si>
  <si>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</si>
  <si>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</si>
  <si>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</si>
  <si>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</si>
  <si>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</si>
  <si>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</si>
  <si>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</si>
  <si>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</si>
  <si>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</si>
  <si>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</si>
  <si>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</si>
  <si>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</si>
  <si>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</si>
  <si>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</si>
  <si>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</si>
  <si>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</si>
  <si>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</si>
  <si>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</si>
  <si>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</si>
  <si>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</si>
  <si>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</si>
  <si>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</si>
  <si>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</si>
  <si>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</si>
  <si>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</si>
  <si>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</si>
  <si>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</si>
  <si>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</si>
  <si>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</si>
  <si>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</si>
  <si>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</si>
  <si>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</si>
  <si>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</si>
  <si>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</si>
  <si>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</si>
  <si>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</si>
  <si>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</si>
  <si>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</si>
  <si>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</si>
  <si>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</si>
  <si>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</si>
  <si>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</si>
  <si>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</si>
  <si>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</si>
  <si>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</si>
  <si>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</si>
  <si>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</si>
  <si>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</si>
  <si>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</si>
  <si>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</si>
  <si>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</si>
  <si>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</si>
  <si>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</si>
  <si>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</si>
  <si>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</si>
  <si>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</si>
  <si>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</si>
  <si>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</si>
  <si>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</si>
  <si>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</si>
  <si>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</si>
  <si>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</si>
  <si>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</si>
  <si>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</si>
  <si>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</si>
  <si>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</si>
  <si>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</si>
  <si>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</si>
  <si>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</si>
  <si>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</si>
  <si>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</si>
  <si>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</si>
  <si>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</si>
  <si>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</si>
  <si>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</si>
  <si>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</si>
  <si>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</si>
  <si>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</si>
  <si>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</si>
  <si>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</si>
  <si>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</si>
  <si>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</si>
  <si>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</si>
  <si>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</si>
  <si>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</si>
  <si>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</si>
  <si>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</si>
  <si>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</si>
  <si>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</si>
  <si>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</si>
  <si>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</si>
  <si>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</si>
  <si>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</si>
  <si>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</si>
  <si>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</si>
  <si>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</si>
  <si>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</si>
  <si>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</si>
  <si>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</si>
  <si>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</si>
  <si>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</si>
  <si>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</si>
  <si>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</si>
  <si>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</si>
  <si>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</si>
  <si>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</si>
  <si>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</si>
  <si>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</si>
  <si>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</si>
  <si>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</si>
  <si>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</si>
  <si>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</si>
  <si>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</si>
  <si>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</si>
  <si>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</si>
  <si>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</si>
  <si>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</si>
  <si>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</si>
  <si>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</si>
  <si>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</si>
  <si>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</si>
  <si>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</si>
  <si>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</si>
  <si>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</si>
  <si>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</si>
  <si>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</si>
  <si>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</si>
  <si>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</si>
  <si>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</si>
  <si>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</si>
  <si>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</si>
  <si>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</si>
  <si>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</si>
  <si>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</si>
  <si>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</si>
  <si>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</si>
  <si>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</si>
  <si>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</si>
  <si>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</si>
  <si>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</si>
  <si>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</si>
  <si>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</si>
  <si>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</si>
  <si>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</si>
  <si>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</si>
  <si>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</si>
  <si>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</si>
  <si>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</si>
  <si>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</si>
  <si>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</si>
  <si>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</si>
  <si>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</si>
  <si>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</si>
  <si>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</si>
  <si>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</si>
  <si>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</si>
  <si>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</si>
  <si>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</si>
  <si>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</si>
  <si>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</si>
  <si>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</si>
  <si>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</si>
  <si>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</si>
  <si>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</si>
  <si>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</si>
  <si>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</si>
  <si>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</si>
  <si>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</si>
  <si>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</si>
  <si>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</si>
  <si>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</si>
  <si>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</si>
  <si>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</si>
  <si>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</si>
  <si>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</si>
  <si>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</si>
  <si>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</si>
  <si>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</si>
  <si>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</si>
  <si>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</si>
  <si>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</si>
  <si>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</si>
  <si>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</si>
  <si>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</si>
  <si>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</si>
  <si>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</si>
  <si>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</si>
  <si>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</si>
  <si>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</si>
  <si>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</si>
  <si>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</si>
  <si>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</si>
  <si>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</si>
  <si>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</si>
  <si>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</si>
  <si>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</si>
  <si>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</si>
  <si>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</si>
  <si>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</si>
  <si>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</si>
  <si>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</si>
  <si>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</si>
  <si>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</si>
  <si>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</si>
  <si>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</si>
  <si>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</si>
  <si>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</si>
  <si>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</si>
  <si>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</si>
  <si>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</si>
  <si>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</si>
  <si>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</si>
  <si>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</si>
  <si>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</si>
  <si>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</si>
  <si>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</si>
  <si>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</si>
  <si>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</si>
  <si>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</si>
  <si>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</si>
  <si>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</si>
  <si>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</si>
  <si>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</si>
  <si>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</si>
  <si>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</si>
  <si>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</si>
  <si>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</si>
  <si>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</si>
  <si>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</si>
  <si>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</si>
  <si>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</si>
  <si>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</si>
  <si>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</si>
  <si>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</si>
  <si>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</si>
  <si>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</si>
  <si>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</si>
  <si>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</si>
  <si>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</si>
  <si>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</si>
  <si>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</si>
  <si>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</si>
  <si>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</si>
  <si>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</si>
  <si>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</si>
  <si>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</si>
  <si>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</si>
  <si>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</si>
  <si>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</si>
  <si>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</si>
  <si>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</si>
  <si>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</si>
  <si>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</si>
  <si>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</si>
  <si>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</si>
  <si>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</si>
  <si>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</si>
  <si>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</si>
  <si>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</si>
  <si>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</si>
  <si>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</si>
  <si>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</si>
  <si>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</si>
  <si>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</si>
  <si>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</si>
  <si>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</si>
  <si>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</si>
  <si>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</si>
  <si>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</si>
  <si>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</si>
  <si>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</si>
  <si>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</si>
  <si>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</si>
  <si>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</si>
  <si>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</si>
  <si>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</si>
  <si>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</si>
  <si>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</si>
  <si>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</si>
  <si>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</si>
  <si>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</si>
  <si>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</si>
  <si>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</si>
  <si>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</si>
  <si>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</si>
  <si>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</si>
  <si>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</si>
  <si>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</si>
  <si>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</si>
  <si>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</si>
  <si>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</si>
  <si>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</si>
  <si>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</si>
  <si>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</si>
  <si>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</si>
  <si>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</si>
  <si>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</si>
  <si>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</si>
  <si>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</si>
  <si>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</si>
  <si>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</si>
  <si>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</si>
  <si>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</si>
  <si>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</si>
  <si>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</si>
  <si>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</si>
  <si>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</si>
  <si>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</si>
  <si>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</si>
  <si>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</si>
  <si>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</si>
  <si>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</si>
  <si>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</si>
  <si>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</si>
  <si>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</si>
  <si>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</si>
  <si>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</si>
  <si>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</si>
  <si>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</si>
  <si>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</si>
  <si>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</si>
  <si>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</si>
  <si>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</si>
  <si>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</si>
  <si>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</si>
  <si>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</si>
  <si>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</si>
  <si>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</si>
  <si>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</si>
  <si>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</si>
  <si>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</si>
  <si>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</si>
  <si>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</si>
  <si>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</si>
  <si>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</si>
  <si>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</si>
  <si>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</si>
  <si>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</si>
  <si>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</si>
  <si>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</si>
  <si>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</si>
  <si>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</si>
  <si>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</si>
  <si>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</si>
  <si>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</si>
  <si>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</si>
  <si>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</si>
  <si>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</si>
  <si>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</si>
  <si>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</si>
  <si>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</si>
  <si>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</si>
  <si>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</si>
  <si>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</si>
  <si>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</si>
  <si>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</si>
  <si>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</si>
  <si>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</si>
  <si>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</si>
  <si>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</si>
  <si>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</si>
  <si>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</si>
  <si>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</si>
  <si>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</si>
  <si>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</si>
  <si>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</si>
  <si>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</si>
  <si>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</si>
  <si>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</si>
  <si>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</si>
  <si>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</si>
  <si>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</si>
  <si>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</si>
  <si>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</si>
  <si>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</si>
  <si>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</si>
  <si>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</si>
  <si>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</si>
  <si>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</si>
  <si>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</si>
  <si>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</si>
  <si>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</si>
  <si>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</si>
  <si>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</si>
  <si>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</si>
  <si>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</si>
  <si>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</si>
  <si>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</si>
  <si>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</si>
  <si>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</si>
  <si>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</si>
  <si>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</si>
  <si>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</si>
  <si>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</si>
  <si>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</si>
  <si>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</si>
  <si>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</si>
  <si>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</si>
  <si>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</si>
  <si>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</si>
  <si>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</si>
  <si>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</si>
  <si>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</si>
  <si>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</si>
  <si>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</si>
  <si>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</si>
  <si>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</si>
  <si>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</si>
  <si>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</si>
  <si>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</si>
  <si>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</si>
  <si>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</si>
  <si>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</si>
  <si>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</si>
  <si>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</si>
  <si>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</si>
  <si>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</si>
  <si>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</si>
  <si>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</si>
  <si>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</si>
  <si>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</si>
  <si>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</si>
  <si>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</si>
  <si>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</si>
  <si>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</si>
  <si>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</si>
  <si>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</si>
  <si>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</si>
  <si>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</si>
  <si>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</si>
  <si>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</si>
  <si>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</si>
  <si>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</si>
  <si>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</si>
  <si>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</si>
  <si>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</si>
  <si>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</si>
  <si>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</si>
  <si>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</si>
  <si>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</si>
  <si>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</si>
  <si>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</si>
  <si>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</si>
  <si>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</si>
  <si>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</si>
  <si>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</si>
  <si>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</si>
  <si>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</si>
  <si>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</si>
  <si>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</si>
  <si>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</si>
  <si>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</si>
  <si>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</si>
  <si>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</si>
  <si>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</si>
  <si>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</si>
  <si>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</si>
  <si>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</si>
  <si>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</si>
  <si>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</si>
  <si>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</si>
  <si>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</si>
  <si>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</si>
  <si>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</si>
  <si>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</si>
  <si>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</si>
  <si>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</si>
  <si>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</si>
  <si>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</si>
  <si>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WINNACUNNET</t>
  </si>
  <si>
    <t>August 2004</t>
  </si>
  <si>
    <t>August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</si>
</sst>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581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1146249.66+200</f>
        <v>1146449.6599999999</v>
      </c>
      <c r="G9" s="18">
        <v>200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34005.06</v>
      </c>
      <c r="G10" s="18"/>
      <c r="H10" s="18"/>
      <c r="I10" s="18"/>
      <c r="J10" s="67">
        <f>SUM(I439)</f>
        <v>324527.63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95541.73</v>
      </c>
      <c r="G12" s="18">
        <v>204965.76000000001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11506.16</v>
      </c>
      <c r="G13" s="18">
        <v>4867.28</v>
      </c>
      <c r="H13" s="18">
        <v>95601.21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1183.1300000000001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1288685.7399999998</v>
      </c>
      <c r="G19" s="41">
        <f>SUM(G9:G18)</f>
        <v>210033.04</v>
      </c>
      <c r="H19" s="41">
        <f>SUM(H9:H18)</f>
        <v>95601.21</v>
      </c>
      <c r="I19" s="41">
        <f>SUM(I9:I18)</f>
        <v>0</v>
      </c>
      <c r="J19" s="41">
        <f>SUM(J9:J18)</f>
        <v>324527.63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204965.76000000001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95541.73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287436.11</v>
      </c>
      <c r="G24" s="18">
        <v>630.04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11504.44+880.07+554.54</f>
        <v>12939.05</v>
      </c>
      <c r="G28" s="18"/>
      <c r="H28" s="18">
        <v>59.48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61059.64+8947.56</f>
        <v>70007.199999999997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9693.85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575348.12</v>
      </c>
      <c r="G32" s="41">
        <f>SUM(G22:G31)</f>
        <v>10323.89</v>
      </c>
      <c r="H32" s="41">
        <f>SUM(H22:H31)</f>
        <v>95601.209999999992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199709.15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101758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8768.9</v>
      </c>
      <c r="G47" s="18"/>
      <c r="H47" s="18"/>
      <c r="I47" s="18"/>
      <c r="J47" s="13">
        <f>SUM(I458)</f>
        <v>324527.63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527810.72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713337.62</v>
      </c>
      <c r="G50" s="41">
        <f>SUM(G35:G49)</f>
        <v>199709.15</v>
      </c>
      <c r="H50" s="41">
        <f>SUM(H35:H49)</f>
        <v>0</v>
      </c>
      <c r="I50" s="41">
        <f>SUM(I35:I49)</f>
        <v>0</v>
      </c>
      <c r="J50" s="41">
        <f>SUM(J35:J49)</f>
        <v>324527.63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1288685.74</v>
      </c>
      <c r="G51" s="41">
        <f>G50+G32</f>
        <v>210033.03999999998</v>
      </c>
      <c r="H51" s="41">
        <f>H50+H32</f>
        <v>95601.209999999992</v>
      </c>
      <c r="I51" s="41">
        <f>I50+I32</f>
        <v>0</v>
      </c>
      <c r="J51" s="41">
        <f>J50+J32</f>
        <v>324527.63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14682446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14682446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5467.5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1930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7397.5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12732.26</v>
      </c>
      <c r="G95" s="18"/>
      <c r="H95" s="18"/>
      <c r="I95" s="18"/>
      <c r="J95" s="18">
        <v>13183.73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434055.25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11871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804+5700</f>
        <v>6504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2886.96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36873.19+6493.16+14.72</f>
        <v>43381.070000000007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77375.290000000008</v>
      </c>
      <c r="G110" s="41">
        <f>SUM(G95:G109)</f>
        <v>434055.25</v>
      </c>
      <c r="H110" s="41">
        <f>SUM(H95:H109)</f>
        <v>0</v>
      </c>
      <c r="I110" s="41">
        <f>SUM(I95:I109)</f>
        <v>0</v>
      </c>
      <c r="J110" s="41">
        <f>SUM(J95:J109)</f>
        <v>13183.73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14767218.789999999</v>
      </c>
      <c r="G111" s="41">
        <f>G59+G110</f>
        <v>434055.25</v>
      </c>
      <c r="H111" s="41">
        <f>H59+H78+H93+H110</f>
        <v>0</v>
      </c>
      <c r="I111" s="41">
        <f>I59+I110</f>
        <v>0</v>
      </c>
      <c r="J111" s="41">
        <f>J59+J110</f>
        <v>13183.73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555746.49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4440471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481.51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>
        <v>42225.52</v>
      </c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4996699</v>
      </c>
      <c r="G120" s="41">
        <f>SUM(G116:G119)</f>
        <v>0</v>
      </c>
      <c r="H120" s="41">
        <f>SUM(H116:H119)</f>
        <v>42225.52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574839.18000000005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132284.66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5694.52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5318.57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712818.3600000001</v>
      </c>
      <c r="G135" s="41">
        <f>SUM(G122:G134)</f>
        <v>5318.57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5709517.3600000003</v>
      </c>
      <c r="G139" s="41">
        <f>G120+SUM(G135:G136)</f>
        <v>5318.57</v>
      </c>
      <c r="H139" s="41">
        <f>H120+SUM(H135:H138)</f>
        <v>42225.52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106063.95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106063.95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230498.18-71.74</f>
        <v>230426.44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151215.85-42225.52</f>
        <v>108990.33000000002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114995.67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242688.43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118905.15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24447.24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118905.15</v>
      </c>
      <c r="G161" s="41">
        <f>SUM(G149:G160)</f>
        <v>139442.91</v>
      </c>
      <c r="H161" s="41">
        <f>SUM(H149:H160)</f>
        <v>582105.19999999995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118905.15</v>
      </c>
      <c r="G168" s="41">
        <f>G146+G161+SUM(G162:G167)</f>
        <v>139442.91</v>
      </c>
      <c r="H168" s="41">
        <f>H146+H161+SUM(H162:H167)</f>
        <v>688169.14999999991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20595641.299999997</v>
      </c>
      <c r="G192" s="47">
        <f>G111+G139+G168+G191</f>
        <v>578816.73</v>
      </c>
      <c r="H192" s="47">
        <f>H111+H139+H168+H191</f>
        <v>730394.66999999993</v>
      </c>
      <c r="I192" s="47">
        <f>I111+I139+I168+I191</f>
        <v>0</v>
      </c>
      <c r="J192" s="47">
        <f>J111+J139+J191</f>
        <v>113183.73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5659782.9900000002</v>
      </c>
      <c r="G232" s="18">
        <f>2287471.5-0.01</f>
        <v>2287471.4900000002</v>
      </c>
      <c r="H232" s="18">
        <v>4313.95</v>
      </c>
      <c r="I232" s="18">
        <f>158022.96+94.85-80.05</f>
        <v>158037.76000000001</v>
      </c>
      <c r="J232" s="18">
        <v>57473.72</v>
      </c>
      <c r="K232" s="18"/>
      <c r="L232" s="19">
        <f>SUM(F232:K232)</f>
        <v>8167079.9100000001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1470183.08</v>
      </c>
      <c r="G233" s="18">
        <v>632995.65</v>
      </c>
      <c r="H233" s="18">
        <f>777870.41+2000</f>
        <v>779870.41</v>
      </c>
      <c r="I233" s="18">
        <v>3680.5</v>
      </c>
      <c r="J233" s="18">
        <v>291.39</v>
      </c>
      <c r="K233" s="18">
        <v>780</v>
      </c>
      <c r="L233" s="19">
        <f>SUM(F233:K233)</f>
        <v>2887801.0300000003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162737.46</v>
      </c>
      <c r="I234" s="18"/>
      <c r="J234" s="18"/>
      <c r="K234" s="18"/>
      <c r="L234" s="19">
        <f>SUM(F234:K234)</f>
        <v>162737.46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401218.67+26650</f>
        <v>427868.67</v>
      </c>
      <c r="G235" s="18">
        <f>117389.35+2038.73</f>
        <v>119428.08</v>
      </c>
      <c r="H235" s="18">
        <v>122357.2</v>
      </c>
      <c r="I235" s="18">
        <f>54341.64+3791.99</f>
        <v>58133.63</v>
      </c>
      <c r="J235" s="18">
        <v>16995.07</v>
      </c>
      <c r="K235" s="18">
        <v>21565.55</v>
      </c>
      <c r="L235" s="19">
        <f>SUM(F235:K235)</f>
        <v>766348.2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611043.48+111522.62</f>
        <v>722566.1</v>
      </c>
      <c r="G237" s="18">
        <v>339528.98</v>
      </c>
      <c r="H237" s="18">
        <f>78269+2165</f>
        <v>80434</v>
      </c>
      <c r="I237" s="18">
        <f>1960.24+3299.55</f>
        <v>5259.79</v>
      </c>
      <c r="J237" s="18">
        <v>2592.6</v>
      </c>
      <c r="K237" s="18">
        <v>440</v>
      </c>
      <c r="L237" s="19">
        <f t="shared" ref="L237:L243" si="4">SUM(F237:K237)</f>
        <v>1150821.4700000002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24475+110036.65+175626.86+39030.49</f>
        <v>349169</v>
      </c>
      <c r="G238" s="18">
        <f>28471.5+146958.59</f>
        <v>175430.09</v>
      </c>
      <c r="H238" s="18">
        <f>10918.8+3206.68+80935.89+38138.36</f>
        <v>133199.72999999998</v>
      </c>
      <c r="I238" s="18">
        <f>980.6+24896.92+93334.41</f>
        <v>119211.93</v>
      </c>
      <c r="J238" s="18">
        <f>7415.79+87192.16</f>
        <v>94607.95</v>
      </c>
      <c r="K238" s="18"/>
      <c r="L238" s="19">
        <f t="shared" si="4"/>
        <v>871618.7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30032.9</v>
      </c>
      <c r="G239" s="18">
        <v>2297.52</v>
      </c>
      <c r="H239" s="18">
        <f>70839.24+549750</f>
        <v>620589.24</v>
      </c>
      <c r="I239" s="18">
        <v>18994.150000000001</v>
      </c>
      <c r="J239" s="18"/>
      <c r="K239" s="18">
        <v>8760.49</v>
      </c>
      <c r="L239" s="19">
        <f t="shared" si="4"/>
        <v>680674.3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692368.57</v>
      </c>
      <c r="G240" s="18">
        <f>256633.18+28297.1</f>
        <v>284930.27999999997</v>
      </c>
      <c r="H240" s="18">
        <v>131266.28</v>
      </c>
      <c r="I240" s="18"/>
      <c r="J240" s="18"/>
      <c r="K240" s="18">
        <v>33441.43</v>
      </c>
      <c r="L240" s="19">
        <f t="shared" si="4"/>
        <v>1142006.5599999998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667477.01+2423.92</f>
        <v>669900.93000000005</v>
      </c>
      <c r="G242" s="18">
        <v>311302.96000000002</v>
      </c>
      <c r="H242" s="18">
        <f>251447.43+114503.73+17482.36+4493</f>
        <v>387926.51999999996</v>
      </c>
      <c r="I242" s="18">
        <v>462728.49</v>
      </c>
      <c r="J242" s="18">
        <f>28968.2+14802.99</f>
        <v>43771.19</v>
      </c>
      <c r="K242" s="18">
        <v>4171.5</v>
      </c>
      <c r="L242" s="19">
        <f t="shared" si="4"/>
        <v>1879801.59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417401.75+177785.34+67523.52+52558.99</f>
        <v>715269.6</v>
      </c>
      <c r="I243" s="18"/>
      <c r="J243" s="18"/>
      <c r="K243" s="18"/>
      <c r="L243" s="19">
        <f t="shared" si="4"/>
        <v>715269.6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>
        <v>200</v>
      </c>
      <c r="L244" s="19">
        <f>SUM(F244:K244)</f>
        <v>200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10021872.24</v>
      </c>
      <c r="G246" s="41">
        <f t="shared" si="5"/>
        <v>4153385.05</v>
      </c>
      <c r="H246" s="41">
        <f t="shared" si="5"/>
        <v>3137964.39</v>
      </c>
      <c r="I246" s="41">
        <f t="shared" si="5"/>
        <v>826046.25</v>
      </c>
      <c r="J246" s="41">
        <f t="shared" si="5"/>
        <v>215731.91999999998</v>
      </c>
      <c r="K246" s="41">
        <f t="shared" si="5"/>
        <v>69358.97</v>
      </c>
      <c r="L246" s="41">
        <f t="shared" si="5"/>
        <v>18424358.820000004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96132.96</v>
      </c>
      <c r="G250" s="18">
        <v>7770.72</v>
      </c>
      <c r="H250" s="18"/>
      <c r="I250" s="18">
        <v>2506.8200000000002</v>
      </c>
      <c r="J250" s="18"/>
      <c r="K250" s="18">
        <v>250</v>
      </c>
      <c r="L250" s="19">
        <f t="shared" si="6"/>
        <v>106660.50000000001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96132.96</v>
      </c>
      <c r="G255" s="41">
        <f t="shared" si="7"/>
        <v>7770.72</v>
      </c>
      <c r="H255" s="41">
        <f t="shared" si="7"/>
        <v>0</v>
      </c>
      <c r="I255" s="41">
        <f t="shared" si="7"/>
        <v>2506.8200000000002</v>
      </c>
      <c r="J255" s="41">
        <f t="shared" si="7"/>
        <v>0</v>
      </c>
      <c r="K255" s="41">
        <f t="shared" si="7"/>
        <v>250</v>
      </c>
      <c r="L255" s="41">
        <f>SUM(F255:K255)</f>
        <v>106660.50000000001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10118005.200000001</v>
      </c>
      <c r="G256" s="41">
        <f t="shared" si="8"/>
        <v>4161155.77</v>
      </c>
      <c r="H256" s="41">
        <f t="shared" si="8"/>
        <v>3137964.39</v>
      </c>
      <c r="I256" s="41">
        <f t="shared" si="8"/>
        <v>828553.07</v>
      </c>
      <c r="J256" s="41">
        <f t="shared" si="8"/>
        <v>215731.91999999998</v>
      </c>
      <c r="K256" s="41">
        <f t="shared" si="8"/>
        <v>69608.97</v>
      </c>
      <c r="L256" s="41">
        <f t="shared" si="8"/>
        <v>18531019.320000004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1030000</v>
      </c>
      <c r="L259" s="19">
        <f>SUM(F259:K259)</f>
        <v>1030000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955922.5</v>
      </c>
      <c r="L260" s="19">
        <f>SUM(F260:K260)</f>
        <v>955922.5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2085922.5</v>
      </c>
      <c r="L269" s="41">
        <f t="shared" si="9"/>
        <v>2085922.5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10118005.200000001</v>
      </c>
      <c r="G270" s="42">
        <f t="shared" si="11"/>
        <v>4161155.77</v>
      </c>
      <c r="H270" s="42">
        <f t="shared" si="11"/>
        <v>3137964.39</v>
      </c>
      <c r="I270" s="42">
        <f t="shared" si="11"/>
        <v>828553.07</v>
      </c>
      <c r="J270" s="42">
        <f t="shared" si="11"/>
        <v>215731.91999999998</v>
      </c>
      <c r="K270" s="42">
        <f t="shared" si="11"/>
        <v>2155531.4700000002</v>
      </c>
      <c r="L270" s="42">
        <f t="shared" si="11"/>
        <v>20616941.820000004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87890+249634.34</f>
        <v>337524.33999999997</v>
      </c>
      <c r="G313" s="18">
        <v>38705.29</v>
      </c>
      <c r="H313" s="18">
        <v>2145.5100000000002</v>
      </c>
      <c r="I313" s="18">
        <f>34598.95-71.74-0.2</f>
        <v>34527.01</v>
      </c>
      <c r="J313" s="18">
        <v>39448.269999999997</v>
      </c>
      <c r="K313" s="18"/>
      <c r="L313" s="19">
        <f>SUM(F313:K313)</f>
        <v>452350.42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18173.95+52064.55</f>
        <v>70238.5</v>
      </c>
      <c r="G314" s="18">
        <v>13654.96</v>
      </c>
      <c r="H314" s="18">
        <v>65780.52</v>
      </c>
      <c r="I314" s="18">
        <v>36702.15</v>
      </c>
      <c r="J314" s="18">
        <v>57259.73</v>
      </c>
      <c r="K314" s="18"/>
      <c r="L314" s="19">
        <f>SUM(F314:K314)</f>
        <v>243635.86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4000</v>
      </c>
      <c r="I318" s="18">
        <v>237.36</v>
      </c>
      <c r="J318" s="18"/>
      <c r="K318" s="18">
        <v>799.84</v>
      </c>
      <c r="L318" s="19">
        <f t="shared" ref="L318:L324" si="16">SUM(F318:K318)</f>
        <v>5037.2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50</v>
      </c>
      <c r="I319" s="18"/>
      <c r="J319" s="18"/>
      <c r="K319" s="18"/>
      <c r="L319" s="19">
        <f t="shared" si="16"/>
        <v>50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>
        <f>26750+2571.19</f>
        <v>29321.19</v>
      </c>
      <c r="L320" s="19">
        <f t="shared" si="16"/>
        <v>29321.19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407762.83999999997</v>
      </c>
      <c r="G327" s="42">
        <f t="shared" si="17"/>
        <v>52360.25</v>
      </c>
      <c r="H327" s="42">
        <f t="shared" si="17"/>
        <v>71976.03</v>
      </c>
      <c r="I327" s="42">
        <f t="shared" si="17"/>
        <v>71466.52</v>
      </c>
      <c r="J327" s="42">
        <f t="shared" si="17"/>
        <v>96708</v>
      </c>
      <c r="K327" s="42">
        <f t="shared" si="17"/>
        <v>30121.03</v>
      </c>
      <c r="L327" s="41">
        <f t="shared" si="17"/>
        <v>730394.66999999993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407762.83999999997</v>
      </c>
      <c r="G337" s="41">
        <f t="shared" si="20"/>
        <v>52360.25</v>
      </c>
      <c r="H337" s="41">
        <f t="shared" si="20"/>
        <v>71976.03</v>
      </c>
      <c r="I337" s="41">
        <f t="shared" si="20"/>
        <v>71466.52</v>
      </c>
      <c r="J337" s="41">
        <f t="shared" si="20"/>
        <v>96708</v>
      </c>
      <c r="K337" s="41">
        <f t="shared" si="20"/>
        <v>30121.03</v>
      </c>
      <c r="L337" s="41">
        <f t="shared" si="20"/>
        <v>730394.66999999993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407762.83999999997</v>
      </c>
      <c r="G351" s="41">
        <f>G337</f>
        <v>52360.25</v>
      </c>
      <c r="H351" s="41">
        <f>H337</f>
        <v>71976.03</v>
      </c>
      <c r="I351" s="41">
        <f>I337</f>
        <v>71466.52</v>
      </c>
      <c r="J351" s="41">
        <f>J337</f>
        <v>96708</v>
      </c>
      <c r="K351" s="47">
        <f>K337+K350</f>
        <v>30121.03</v>
      </c>
      <c r="L351" s="41">
        <f>L337+L350</f>
        <v>730394.66999999993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242994.29</v>
      </c>
      <c r="G359" s="18"/>
      <c r="H359" s="18">
        <f>3146.39+5820.95</f>
        <v>8967.34</v>
      </c>
      <c r="I359" s="18">
        <f>17917.05+352520.21+24447.24</f>
        <v>394884.5</v>
      </c>
      <c r="J359" s="18">
        <v>14284.88</v>
      </c>
      <c r="K359" s="18">
        <v>1771.45</v>
      </c>
      <c r="L359" s="19">
        <f>SUM(F359:K359)</f>
        <v>662902.46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242994.29</v>
      </c>
      <c r="G361" s="47">
        <f t="shared" si="22"/>
        <v>0</v>
      </c>
      <c r="H361" s="47">
        <f t="shared" si="22"/>
        <v>8967.34</v>
      </c>
      <c r="I361" s="47">
        <f t="shared" si="22"/>
        <v>394884.5</v>
      </c>
      <c r="J361" s="47">
        <f t="shared" si="22"/>
        <v>14284.88</v>
      </c>
      <c r="K361" s="47">
        <f t="shared" si="22"/>
        <v>1771.45</v>
      </c>
      <c r="L361" s="47">
        <f t="shared" si="22"/>
        <v>662902.46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f>352520.21+24447.24</f>
        <v>376967.45</v>
      </c>
      <c r="I366" s="56">
        <f>SUM(F366:H366)</f>
        <v>376967.45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17917.05</v>
      </c>
      <c r="I367" s="56">
        <f>SUM(F367:H367)</f>
        <v>17917.05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394884.5</v>
      </c>
      <c r="I368" s="47">
        <f>SUM(I366:I367)</f>
        <v>394884.5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f>7163.83-1600.97</f>
        <v>5562.86</v>
      </c>
      <c r="I395" s="18"/>
      <c r="J395" s="24" t="s">
        <v>289</v>
      </c>
      <c r="K395" s="24" t="s">
        <v>289</v>
      </c>
      <c r="L395" s="56">
        <f t="shared" si="26"/>
        <v>55562.86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f>10136.41-2515.54</f>
        <v>7620.87</v>
      </c>
      <c r="I396" s="18"/>
      <c r="J396" s="24" t="s">
        <v>289</v>
      </c>
      <c r="K396" s="24" t="s">
        <v>289</v>
      </c>
      <c r="L396" s="56">
        <f t="shared" si="26"/>
        <v>57620.87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13183.73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113183.73000000001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13183.73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113183.73000000001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188487.68+136039.95</f>
        <v>324527.63</v>
      </c>
      <c r="H439" s="18"/>
      <c r="I439" s="56">
        <f t="shared" si="33"/>
        <v>324527.63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324527.63</v>
      </c>
      <c r="H445" s="13">
        <f>SUM(H438:H444)</f>
        <v>0</v>
      </c>
      <c r="I445" s="13">
        <f>SUM(I438:I444)</f>
        <v>324527.63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324527.63</v>
      </c>
      <c r="H458" s="18"/>
      <c r="I458" s="56">
        <f t="shared" si="34"/>
        <v>324527.63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324527.63</v>
      </c>
      <c r="H459" s="83">
        <f>SUM(H453:H458)</f>
        <v>0</v>
      </c>
      <c r="I459" s="83">
        <f>SUM(I453:I458)</f>
        <v>324527.63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324527.63</v>
      </c>
      <c r="H460" s="42">
        <f>H451+H459</f>
        <v>0</v>
      </c>
      <c r="I460" s="42">
        <f>I451+I459</f>
        <v>324527.63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734638.14</v>
      </c>
      <c r="G464" s="18">
        <v>283794.88</v>
      </c>
      <c r="H464" s="18">
        <v>0</v>
      </c>
      <c r="I464" s="18"/>
      <c r="J464" s="18">
        <v>211343.9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20595641.300000001</v>
      </c>
      <c r="G467" s="18">
        <v>578816.73</v>
      </c>
      <c r="H467" s="18">
        <v>730394.67</v>
      </c>
      <c r="I467" s="18"/>
      <c r="J467" s="18">
        <v>113183.73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20595641.300000001</v>
      </c>
      <c r="G469" s="53">
        <f>SUM(G467:G468)</f>
        <v>578816.73</v>
      </c>
      <c r="H469" s="53">
        <f>SUM(H467:H468)</f>
        <v>730394.67</v>
      </c>
      <c r="I469" s="53">
        <f>SUM(I467:I468)</f>
        <v>0</v>
      </c>
      <c r="J469" s="53">
        <f>SUM(J467:J468)</f>
        <v>113183.73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20616941.82</v>
      </c>
      <c r="G471" s="18">
        <v>662902.46</v>
      </c>
      <c r="H471" s="18">
        <v>730394.67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20616941.82</v>
      </c>
      <c r="G473" s="53">
        <f>SUM(G471:G472)</f>
        <v>662902.46</v>
      </c>
      <c r="H473" s="53">
        <f>SUM(H471:H472)</f>
        <v>730394.67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713337.62000000104</v>
      </c>
      <c r="G475" s="53">
        <f>(G464+G469)- G473</f>
        <v>199709.15000000002</v>
      </c>
      <c r="H475" s="53">
        <f>(H464+H469)- H473</f>
        <v>0</v>
      </c>
      <c r="I475" s="53">
        <f>(I464+I469)- I473</f>
        <v>0</v>
      </c>
      <c r="J475" s="53">
        <f>(J464+J469)- J473</f>
        <v>324527.63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25484800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20575000</v>
      </c>
      <c r="G494" s="18"/>
      <c r="H494" s="18"/>
      <c r="I494" s="18"/>
      <c r="J494" s="18"/>
      <c r="K494" s="53">
        <f>SUM(F494:J494)</f>
        <v>20575000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1030000+502956.25+477206.25-24240</f>
        <v>1985922.5</v>
      </c>
      <c r="G496" s="18"/>
      <c r="H496" s="18"/>
      <c r="I496" s="18"/>
      <c r="J496" s="18"/>
      <c r="K496" s="53">
        <f t="shared" si="35"/>
        <v>1985922.5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19245000</v>
      </c>
      <c r="G497" s="205"/>
      <c r="H497" s="205"/>
      <c r="I497" s="205"/>
      <c r="J497" s="205"/>
      <c r="K497" s="206">
        <f t="shared" si="35"/>
        <v>19245000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6355164.25</v>
      </c>
      <c r="G498" s="18"/>
      <c r="H498" s="18"/>
      <c r="I498" s="18"/>
      <c r="J498" s="18"/>
      <c r="K498" s="53">
        <f t="shared" si="35"/>
        <v>6355164.25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25600164.25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25600164.25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1080000</v>
      </c>
      <c r="G500" s="205"/>
      <c r="H500" s="205"/>
      <c r="I500" s="205"/>
      <c r="J500" s="205"/>
      <c r="K500" s="206">
        <f t="shared" si="35"/>
        <v>1080000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477206.25+450206.25-24244</f>
        <v>903168.5</v>
      </c>
      <c r="G501" s="18"/>
      <c r="H501" s="18"/>
      <c r="I501" s="18"/>
      <c r="J501" s="18"/>
      <c r="K501" s="53">
        <f t="shared" si="35"/>
        <v>903168.5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1983168.5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1983168.5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860251.59+215563.08+52064.55</f>
        <v>1127879.22</v>
      </c>
      <c r="G522" s="18">
        <f>322937.47+146157.48+13654.96</f>
        <v>482749.91</v>
      </c>
      <c r="H522" s="18">
        <f>777870.41-10176.71+65780.52</f>
        <v>833474.22000000009</v>
      </c>
      <c r="I522" s="18">
        <f>3680.5+36702.15</f>
        <v>40382.65</v>
      </c>
      <c r="J522" s="18">
        <f>291.39+57259.73</f>
        <v>57551.12</v>
      </c>
      <c r="K522" s="18"/>
      <c r="L522" s="88">
        <f>SUM(F522:K522)</f>
        <v>2542037.12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1127879.22</v>
      </c>
      <c r="G523" s="108">
        <f t="shared" ref="G523:L523" si="36">SUM(G520:G522)</f>
        <v>482749.91</v>
      </c>
      <c r="H523" s="108">
        <f t="shared" si="36"/>
        <v>833474.22000000009</v>
      </c>
      <c r="I523" s="108">
        <f t="shared" si="36"/>
        <v>40382.65</v>
      </c>
      <c r="J523" s="108">
        <f t="shared" si="36"/>
        <v>57551.12</v>
      </c>
      <c r="K523" s="108">
        <f t="shared" si="36"/>
        <v>0</v>
      </c>
      <c r="L523" s="89">
        <f t="shared" si="36"/>
        <v>2542037.12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264624.44+280+668.75</f>
        <v>265573.19</v>
      </c>
      <c r="G527" s="18">
        <v>103263.66</v>
      </c>
      <c r="H527" s="18"/>
      <c r="I527" s="18"/>
      <c r="J527" s="18"/>
      <c r="K527" s="18"/>
      <c r="L527" s="88">
        <f>SUM(F527:K527)</f>
        <v>368836.85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265573.19</v>
      </c>
      <c r="G528" s="89">
        <f t="shared" ref="G528:L528" si="37">SUM(G525:G527)</f>
        <v>103263.66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368836.85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85344+43451.22</f>
        <v>128795.22</v>
      </c>
      <c r="G532" s="18">
        <f>27013.01+33624.03</f>
        <v>60637.039999999994</v>
      </c>
      <c r="H532" s="18"/>
      <c r="I532" s="18"/>
      <c r="J532" s="18"/>
      <c r="K532" s="18">
        <f>780+17226.52</f>
        <v>18006.52</v>
      </c>
      <c r="L532" s="88">
        <f>SUM(F532:K532)</f>
        <v>207438.78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128795.22</v>
      </c>
      <c r="G533" s="89">
        <f t="shared" ref="G533:L533" si="38">SUM(G530:G532)</f>
        <v>60637.039999999994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18006.52</v>
      </c>
      <c r="L533" s="89">
        <f t="shared" si="38"/>
        <v>207438.78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10176.709999999999</v>
      </c>
      <c r="I537" s="18"/>
      <c r="J537" s="18"/>
      <c r="K537" s="18"/>
      <c r="L537" s="88">
        <f>SUM(F537:K537)</f>
        <v>10176.709999999999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10176.709999999999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10176.709999999999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177785.34</v>
      </c>
      <c r="I542" s="18"/>
      <c r="J542" s="18"/>
      <c r="K542" s="18"/>
      <c r="L542" s="88">
        <f>SUM(F542:K542)</f>
        <v>177785.34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177785.34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177785.34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1522247.63</v>
      </c>
      <c r="G544" s="89">
        <f t="shared" ref="G544:L544" si="41">G523+G528+G533+G538+G543</f>
        <v>646650.61</v>
      </c>
      <c r="H544" s="89">
        <f t="shared" si="41"/>
        <v>1021436.27</v>
      </c>
      <c r="I544" s="89">
        <f t="shared" si="41"/>
        <v>40382.65</v>
      </c>
      <c r="J544" s="89">
        <f t="shared" si="41"/>
        <v>57551.12</v>
      </c>
      <c r="K544" s="89">
        <f t="shared" si="41"/>
        <v>18006.52</v>
      </c>
      <c r="L544" s="89">
        <f t="shared" si="41"/>
        <v>3306274.8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2542037.12</v>
      </c>
      <c r="G550" s="87">
        <f>L527</f>
        <v>368836.85</v>
      </c>
      <c r="H550" s="87">
        <f>L532</f>
        <v>207438.78</v>
      </c>
      <c r="I550" s="87">
        <f>L537</f>
        <v>10176.709999999999</v>
      </c>
      <c r="J550" s="87">
        <f>L542</f>
        <v>177785.34</v>
      </c>
      <c r="K550" s="87">
        <f>SUM(F550:J550)</f>
        <v>3306274.8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2542037.12</v>
      </c>
      <c r="G551" s="89">
        <f t="shared" si="42"/>
        <v>368836.85</v>
      </c>
      <c r="H551" s="89">
        <f t="shared" si="42"/>
        <v>207438.78</v>
      </c>
      <c r="I551" s="89">
        <f t="shared" si="42"/>
        <v>10176.709999999999</v>
      </c>
      <c r="J551" s="89">
        <f t="shared" si="42"/>
        <v>177785.34</v>
      </c>
      <c r="K551" s="89">
        <f t="shared" si="42"/>
        <v>3306274.8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111184.51</v>
      </c>
      <c r="I578" s="87">
        <f t="shared" si="47"/>
        <v>111184.51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277048.24</v>
      </c>
      <c r="I581" s="87">
        <f t="shared" si="47"/>
        <v>277048.24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351607.14</v>
      </c>
      <c r="I582" s="87">
        <f t="shared" si="47"/>
        <v>351607.14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162737.46</v>
      </c>
      <c r="I583" s="87">
        <f t="shared" si="47"/>
        <v>162737.46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f>417401.75-41740.18</f>
        <v>375661.57</v>
      </c>
      <c r="K590" s="104">
        <f t="shared" ref="K590:K596" si="48">SUM(H590:J590)</f>
        <v>375661.57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177785.34</v>
      </c>
      <c r="K591" s="104">
        <f t="shared" si="48"/>
        <v>177785.34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417401.75*10%</f>
        <v>41740.175000000003</v>
      </c>
      <c r="K592" s="104">
        <f t="shared" si="48"/>
        <v>41740.175000000003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67523.520000000004</v>
      </c>
      <c r="K593" s="104">
        <f t="shared" si="48"/>
        <v>67523.520000000004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52558.99</v>
      </c>
      <c r="K596" s="104">
        <f t="shared" si="48"/>
        <v>52558.99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715269.59500000009</v>
      </c>
      <c r="K597" s="108">
        <f>SUM(K590:K596)</f>
        <v>715269.59500000009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10289.17</v>
      </c>
      <c r="K602" s="104">
        <f>SUM(H602:J602)</f>
        <v>10289.17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f>215731.92-10289.17+96708</f>
        <v>302150.75</v>
      </c>
      <c r="K603" s="104">
        <f>SUM(H603:J603)</f>
        <v>302150.75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312439.92</v>
      </c>
      <c r="K604" s="108">
        <f>SUM(K601:K603)</f>
        <v>312439.92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26650</v>
      </c>
      <c r="G612" s="18"/>
      <c r="H612" s="18"/>
      <c r="I612" s="18">
        <f>3791.99+57259.73</f>
        <v>61051.72</v>
      </c>
      <c r="J612" s="18"/>
      <c r="K612" s="18"/>
      <c r="L612" s="88">
        <f>SUM(F612:K612)</f>
        <v>87701.72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26650</v>
      </c>
      <c r="G613" s="108">
        <f t="shared" si="49"/>
        <v>0</v>
      </c>
      <c r="H613" s="108">
        <f t="shared" si="49"/>
        <v>0</v>
      </c>
      <c r="I613" s="108">
        <f t="shared" si="49"/>
        <v>61051.72</v>
      </c>
      <c r="J613" s="108">
        <f t="shared" si="49"/>
        <v>0</v>
      </c>
      <c r="K613" s="108">
        <f t="shared" si="49"/>
        <v>0</v>
      </c>
      <c r="L613" s="89">
        <f t="shared" si="49"/>
        <v>87701.72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1288685.7399999998</v>
      </c>
      <c r="H616" s="109">
        <f>SUM(F51)</f>
        <v>1288685.74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210033.04</v>
      </c>
      <c r="H617" s="109">
        <f>SUM(G51)</f>
        <v>210033.03999999998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95601.21</v>
      </c>
      <c r="H618" s="109">
        <f>SUM(H51)</f>
        <v>95601.209999999992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324527.63</v>
      </c>
      <c r="H620" s="109">
        <f>SUM(J51)</f>
        <v>324527.63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713337.62</v>
      </c>
      <c r="H621" s="109">
        <f>F475</f>
        <v>713337.62000000104</v>
      </c>
      <c r="I621" s="121" t="s">
        <v>101</v>
      </c>
      <c r="J621" s="109">
        <f t="shared" ref="J621:J654" si="50">G621-H621</f>
        <v>-1.0477378964424133E-9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199709.15</v>
      </c>
      <c r="H622" s="109">
        <f>G475</f>
        <v>199709.15000000002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324527.63</v>
      </c>
      <c r="H625" s="109">
        <f>J475</f>
        <v>324527.63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20595641.299999997</v>
      </c>
      <c r="H626" s="104">
        <f>SUM(F467)</f>
        <v>20595641.300000001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578816.73</v>
      </c>
      <c r="H627" s="104">
        <f>SUM(G467)</f>
        <v>578816.73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730394.66999999993</v>
      </c>
      <c r="H628" s="104">
        <f>SUM(H467)</f>
        <v>730394.67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113183.73</v>
      </c>
      <c r="H630" s="104">
        <f>SUM(J467)</f>
        <v>113183.73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20616941.820000004</v>
      </c>
      <c r="H631" s="104">
        <f>SUM(F471)</f>
        <v>20616941.82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730394.66999999993</v>
      </c>
      <c r="H632" s="104">
        <f>SUM(H471)</f>
        <v>730394.67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394884.5</v>
      </c>
      <c r="H633" s="104">
        <f>I368</f>
        <v>394884.5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662902.46</v>
      </c>
      <c r="H634" s="104">
        <f>SUM(G471)</f>
        <v>662902.46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113183.73000000001</v>
      </c>
      <c r="H636" s="164">
        <f>SUM(J467)</f>
        <v>113183.73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324527.63</v>
      </c>
      <c r="H639" s="104">
        <f>SUM(G460)</f>
        <v>324527.63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324527.63</v>
      </c>
      <c r="H641" s="104">
        <f>SUM(I460)</f>
        <v>324527.63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13183.73</v>
      </c>
      <c r="H643" s="104">
        <f>H407</f>
        <v>13183.73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113183.73</v>
      </c>
      <c r="H645" s="104">
        <f>L407</f>
        <v>113183.73000000001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715269.59500000009</v>
      </c>
      <c r="H646" s="104">
        <f>L207+L225+L243</f>
        <v>715269.6</v>
      </c>
      <c r="I646" s="140" t="s">
        <v>397</v>
      </c>
      <c r="J646" s="109">
        <f t="shared" si="50"/>
        <v>-4.999999888241291E-3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312439.92</v>
      </c>
      <c r="H647" s="104">
        <f>(J256+J337)-(J254+J335)</f>
        <v>312439.92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715269.6</v>
      </c>
      <c r="H650" s="104">
        <f>J597</f>
        <v>715269.59500000009</v>
      </c>
      <c r="I650" s="140" t="s">
        <v>391</v>
      </c>
      <c r="J650" s="109">
        <f t="shared" si="50"/>
        <v>4.999999888241291E-3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19817655.950000003</v>
      </c>
      <c r="I659" s="19">
        <f>SUM(F659:H659)</f>
        <v>19817655.950000003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434055.25</v>
      </c>
      <c r="I660" s="19">
        <f>SUM(F660:H660)</f>
        <v>434055.25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715269.6</v>
      </c>
      <c r="I661" s="19">
        <f>SUM(F661:H661)</f>
        <v>715269.6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0</v>
      </c>
      <c r="H662" s="200">
        <f>SUM(H574:H586)+SUM(J601:J603)+L612</f>
        <v>1302718.99</v>
      </c>
      <c r="I662" s="19">
        <f>SUM(F662:H662)</f>
        <v>1302718.99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17365612.110000003</v>
      </c>
      <c r="I663" s="19">
        <f>I659-SUM(I660:I662)</f>
        <v>17365612.110000003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>
        <v>1198.02</v>
      </c>
      <c r="I664" s="19">
        <f>SUM(F664:H664)</f>
        <v>1198.02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14495.26</v>
      </c>
      <c r="I666" s="19">
        <f>ROUND(I663/I664,2)</f>
        <v>14495.26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-36.729999999999997</v>
      </c>
      <c r="I669" s="19">
        <f>SUM(F669:H669)</f>
        <v>-36.729999999999997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14953.73</v>
      </c>
      <c r="I671" s="19">
        <f>ROUND((I663+I668)/(I664+I669),2)</f>
        <v>14953.73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WINNACUNNET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5997307.3300000001</v>
      </c>
      <c r="C9" s="230">
        <f>'DOE25'!G196+'DOE25'!G214+'DOE25'!G232+'DOE25'!G275+'DOE25'!G294+'DOE25'!G313</f>
        <v>2326176.7800000003</v>
      </c>
    </row>
    <row r="10" spans="1:3" x14ac:dyDescent="0.2">
      <c r="A10" t="s">
        <v>779</v>
      </c>
      <c r="B10" s="241">
        <f>5283467.38+87890+241422.09</f>
        <v>5612779.4699999997</v>
      </c>
      <c r="C10" s="241">
        <f>2238975.94-0.01+977.16+6405.36+20830.57+557.36+1639.98+2792.57+1313.85+3559.98+0.21</f>
        <v>2277052.9699999997</v>
      </c>
    </row>
    <row r="11" spans="1:3" x14ac:dyDescent="0.2">
      <c r="A11" t="s">
        <v>780</v>
      </c>
      <c r="B11" s="241">
        <f>41896.08+8212.25</f>
        <v>50108.33</v>
      </c>
      <c r="C11" s="241">
        <f>7434.95+53.55+402.57+53.55</f>
        <v>7944.62</v>
      </c>
    </row>
    <row r="12" spans="1:3" x14ac:dyDescent="0.2">
      <c r="A12" t="s">
        <v>781</v>
      </c>
      <c r="B12" s="241">
        <f>80758.31+62488.85+13262.72+177909.65</f>
        <v>334419.53000000003</v>
      </c>
      <c r="C12" s="241">
        <f>14337.16+10973.04+1161.81+14588.59+118.59</f>
        <v>41179.19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5997307.3300000001</v>
      </c>
      <c r="C13" s="232">
        <f>SUM(C10:C12)</f>
        <v>2326176.7799999998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1540421.58</v>
      </c>
      <c r="C18" s="230">
        <f>'DOE25'!G197+'DOE25'!G215+'DOE25'!G233+'DOE25'!G276+'DOE25'!G295+'DOE25'!G314</f>
        <v>646650.61</v>
      </c>
    </row>
    <row r="19" spans="1:3" x14ac:dyDescent="0.2">
      <c r="A19" t="s">
        <v>779</v>
      </c>
      <c r="B19" s="241">
        <f>860251.59+264624.44+21468.12</f>
        <v>1146344.1500000001</v>
      </c>
      <c r="C19" s="241">
        <f>322937.47+103263.66+59.29+113.79+294.5+4902.12+260.58+26+54+2596.56+1596.95+70.98+89.24-0.02</f>
        <v>436265.11999999994</v>
      </c>
    </row>
    <row r="20" spans="1:3" x14ac:dyDescent="0.2">
      <c r="A20" t="s">
        <v>780</v>
      </c>
      <c r="B20" s="241">
        <f>215563.08+280+668.75+18173.95+26321.43</f>
        <v>261007.21</v>
      </c>
      <c r="C20" s="241">
        <f>146157.48+66.71+128.31+332.1+1946.89+90.34+113.56</f>
        <v>148835.39000000001</v>
      </c>
    </row>
    <row r="21" spans="1:3" x14ac:dyDescent="0.2">
      <c r="A21" t="s">
        <v>781</v>
      </c>
      <c r="B21" s="241">
        <f>85344+43451.22+4275</f>
        <v>133070.22</v>
      </c>
      <c r="C21" s="241">
        <f>27013.01+33624.03+913.06</f>
        <v>61550.099999999991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1540421.58</v>
      </c>
      <c r="C22" s="232">
        <f>SUM(C19:C21)</f>
        <v>646650.61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427868.67</v>
      </c>
      <c r="C36" s="236">
        <f>'DOE25'!G199+'DOE25'!G217+'DOE25'!G235+'DOE25'!G278+'DOE25'!G297+'DOE25'!G316</f>
        <v>119428.08</v>
      </c>
    </row>
    <row r="37" spans="1:3" x14ac:dyDescent="0.2">
      <c r="A37" t="s">
        <v>779</v>
      </c>
      <c r="B37" s="241">
        <v>26650</v>
      </c>
      <c r="C37" s="241">
        <v>2038.73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401218.67</v>
      </c>
      <c r="C39" s="241">
        <v>117389.35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427868.67</v>
      </c>
      <c r="C40" s="232">
        <f>SUM(C37:C39)</f>
        <v>119428.08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WINNACUNNET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11983966.600000001</v>
      </c>
      <c r="D5" s="20">
        <f>SUM('DOE25'!L196:L199)+SUM('DOE25'!L214:L217)+SUM('DOE25'!L232:L235)-F5-G5</f>
        <v>11886860.870000001</v>
      </c>
      <c r="E5" s="244"/>
      <c r="F5" s="256">
        <f>SUM('DOE25'!J196:J199)+SUM('DOE25'!J214:J217)+SUM('DOE25'!J232:J235)</f>
        <v>74760.179999999993</v>
      </c>
      <c r="G5" s="53">
        <f>SUM('DOE25'!K196:K199)+SUM('DOE25'!K214:K217)+SUM('DOE25'!K232:K235)</f>
        <v>22345.55</v>
      </c>
      <c r="H5" s="260"/>
    </row>
    <row r="6" spans="1:9" x14ac:dyDescent="0.2">
      <c r="A6" s="32">
        <v>2100</v>
      </c>
      <c r="B6" t="s">
        <v>801</v>
      </c>
      <c r="C6" s="246">
        <f t="shared" si="0"/>
        <v>1150821.4700000002</v>
      </c>
      <c r="D6" s="20">
        <f>'DOE25'!L201+'DOE25'!L219+'DOE25'!L237-F6-G6</f>
        <v>1147788.8700000001</v>
      </c>
      <c r="E6" s="244"/>
      <c r="F6" s="256">
        <f>'DOE25'!J201+'DOE25'!J219+'DOE25'!J237</f>
        <v>2592.6</v>
      </c>
      <c r="G6" s="53">
        <f>'DOE25'!K201+'DOE25'!K219+'DOE25'!K237</f>
        <v>440</v>
      </c>
      <c r="H6" s="260"/>
    </row>
    <row r="7" spans="1:9" x14ac:dyDescent="0.2">
      <c r="A7" s="32">
        <v>2200</v>
      </c>
      <c r="B7" t="s">
        <v>834</v>
      </c>
      <c r="C7" s="246">
        <f t="shared" si="0"/>
        <v>871618.7</v>
      </c>
      <c r="D7" s="20">
        <f>'DOE25'!L202+'DOE25'!L220+'DOE25'!L238-F7-G7</f>
        <v>777010.75</v>
      </c>
      <c r="E7" s="244"/>
      <c r="F7" s="256">
        <f>'DOE25'!J202+'DOE25'!J220+'DOE25'!J238</f>
        <v>94607.95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397745.57000000007</v>
      </c>
      <c r="D8" s="244"/>
      <c r="E8" s="20">
        <f>'DOE25'!L203+'DOE25'!L221+'DOE25'!L239-F8-G8-D9-D11</f>
        <v>388985.08000000007</v>
      </c>
      <c r="F8" s="256">
        <f>'DOE25'!J203+'DOE25'!J221+'DOE25'!J239</f>
        <v>0</v>
      </c>
      <c r="G8" s="53">
        <f>'DOE25'!K203+'DOE25'!K221+'DOE25'!K239</f>
        <v>8760.49</v>
      </c>
      <c r="H8" s="260"/>
    </row>
    <row r="9" spans="1:9" x14ac:dyDescent="0.2">
      <c r="A9" s="32">
        <v>2310</v>
      </c>
      <c r="B9" t="s">
        <v>818</v>
      </c>
      <c r="C9" s="246">
        <f t="shared" si="0"/>
        <v>109632.63</v>
      </c>
      <c r="D9" s="245">
        <v>109632.63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27292.5</v>
      </c>
      <c r="D10" s="244"/>
      <c r="E10" s="245">
        <v>27292.5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173296.1</v>
      </c>
      <c r="D11" s="245">
        <v>173296.1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1142006.5599999998</v>
      </c>
      <c r="D12" s="20">
        <f>'DOE25'!L204+'DOE25'!L222+'DOE25'!L240-F12-G12</f>
        <v>1108565.1299999999</v>
      </c>
      <c r="E12" s="244"/>
      <c r="F12" s="256">
        <f>'DOE25'!J204+'DOE25'!J222+'DOE25'!J240</f>
        <v>0</v>
      </c>
      <c r="G12" s="53">
        <f>'DOE25'!K204+'DOE25'!K222+'DOE25'!K240</f>
        <v>33441.43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1879801.59</v>
      </c>
      <c r="D14" s="20">
        <f>'DOE25'!L206+'DOE25'!L224+'DOE25'!L242-F14-G14</f>
        <v>1831858.9000000001</v>
      </c>
      <c r="E14" s="244"/>
      <c r="F14" s="256">
        <f>'DOE25'!J206+'DOE25'!J224+'DOE25'!J242</f>
        <v>43771.19</v>
      </c>
      <c r="G14" s="53">
        <f>'DOE25'!K206+'DOE25'!K224+'DOE25'!K242</f>
        <v>4171.5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715269.6</v>
      </c>
      <c r="D15" s="20">
        <f>'DOE25'!L207+'DOE25'!L225+'DOE25'!L243-F15-G15</f>
        <v>715269.6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200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200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106660.50000000001</v>
      </c>
      <c r="D17" s="20">
        <f>'DOE25'!L250-F17-G17</f>
        <v>106410.50000000001</v>
      </c>
      <c r="E17" s="244"/>
      <c r="F17" s="256">
        <f>'DOE25'!J250</f>
        <v>0</v>
      </c>
      <c r="G17" s="53">
        <f>'DOE25'!K250</f>
        <v>250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1985922.5</v>
      </c>
      <c r="D25" s="244"/>
      <c r="E25" s="244"/>
      <c r="F25" s="259"/>
      <c r="G25" s="257"/>
      <c r="H25" s="258">
        <f>'DOE25'!L259+'DOE25'!L260+'DOE25'!L340+'DOE25'!L341</f>
        <v>1985922.5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285935.00999999995</v>
      </c>
      <c r="D29" s="20">
        <f>'DOE25'!L357+'DOE25'!L358+'DOE25'!L359-'DOE25'!I366-F29-G29</f>
        <v>269878.67999999993</v>
      </c>
      <c r="E29" s="244"/>
      <c r="F29" s="256">
        <f>'DOE25'!J357+'DOE25'!J358+'DOE25'!J359</f>
        <v>14284.88</v>
      </c>
      <c r="G29" s="53">
        <f>'DOE25'!K357+'DOE25'!K358+'DOE25'!K359</f>
        <v>1771.45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730394.66999999993</v>
      </c>
      <c r="D31" s="20">
        <f>'DOE25'!L289+'DOE25'!L308+'DOE25'!L327+'DOE25'!L332+'DOE25'!L333+'DOE25'!L334-F31-G31</f>
        <v>603565.6399999999</v>
      </c>
      <c r="E31" s="244"/>
      <c r="F31" s="256">
        <f>'DOE25'!J289+'DOE25'!J308+'DOE25'!J327+'DOE25'!J332+'DOE25'!J333+'DOE25'!J334</f>
        <v>96708</v>
      </c>
      <c r="G31" s="53">
        <f>'DOE25'!K289+'DOE25'!K308+'DOE25'!K327+'DOE25'!K332+'DOE25'!K333+'DOE25'!K334</f>
        <v>30121.03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18730137.670000002</v>
      </c>
      <c r="E33" s="247">
        <f>SUM(E5:E31)</f>
        <v>416277.58000000007</v>
      </c>
      <c r="F33" s="247">
        <f>SUM(F5:F31)</f>
        <v>326724.8</v>
      </c>
      <c r="G33" s="247">
        <f>SUM(G5:G31)</f>
        <v>101501.45</v>
      </c>
      <c r="H33" s="247">
        <f>SUM(H5:H31)</f>
        <v>1985922.5</v>
      </c>
    </row>
    <row r="35" spans="2:8" ht="12" thickBot="1" x14ac:dyDescent="0.25">
      <c r="B35" s="254" t="s">
        <v>847</v>
      </c>
      <c r="D35" s="255">
        <f>E33</f>
        <v>416277.58000000007</v>
      </c>
      <c r="E35" s="250"/>
    </row>
    <row r="36" spans="2:8" ht="12" thickTop="1" x14ac:dyDescent="0.2">
      <c r="B36" t="s">
        <v>815</v>
      </c>
      <c r="D36" s="20">
        <f>D33</f>
        <v>18730137.670000002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WINNACUNNET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1146449.6599999999</v>
      </c>
      <c r="D8" s="95">
        <f>'DOE25'!G9</f>
        <v>200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34005.06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324527.63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95541.73</v>
      </c>
      <c r="D11" s="95">
        <f>'DOE25'!G12</f>
        <v>204965.76000000001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11506.16</v>
      </c>
      <c r="D12" s="95">
        <f>'DOE25'!G13</f>
        <v>4867.28</v>
      </c>
      <c r="E12" s="95">
        <f>'DOE25'!H13</f>
        <v>95601.21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1183.1300000000001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1288685.7399999998</v>
      </c>
      <c r="D18" s="41">
        <f>SUM(D8:D17)</f>
        <v>210033.04</v>
      </c>
      <c r="E18" s="41">
        <f>SUM(E8:E17)</f>
        <v>95601.21</v>
      </c>
      <c r="F18" s="41">
        <f>SUM(F8:F17)</f>
        <v>0</v>
      </c>
      <c r="G18" s="41">
        <f>SUM(G8:G17)</f>
        <v>324527.63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204965.76000000001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95541.73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287436.11</v>
      </c>
      <c r="D23" s="95">
        <f>'DOE25'!G24</f>
        <v>630.04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12939.05</v>
      </c>
      <c r="D27" s="95">
        <f>'DOE25'!G28</f>
        <v>0</v>
      </c>
      <c r="E27" s="95">
        <f>'DOE25'!H28</f>
        <v>59.48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70007.199999999997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9693.85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575348.12</v>
      </c>
      <c r="D31" s="41">
        <f>SUM(D21:D30)</f>
        <v>10323.89</v>
      </c>
      <c r="E31" s="41">
        <f>SUM(E21:E30)</f>
        <v>95601.209999999992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199709.15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101758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8768.9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324527.63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527810.72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713337.62</v>
      </c>
      <c r="D49" s="41">
        <f>SUM(D34:D48)</f>
        <v>199709.15</v>
      </c>
      <c r="E49" s="41">
        <f>SUM(E34:E48)</f>
        <v>0</v>
      </c>
      <c r="F49" s="41">
        <f>SUM(F34:F48)</f>
        <v>0</v>
      </c>
      <c r="G49" s="41">
        <f>SUM(G34:G48)</f>
        <v>324527.63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1288685.74</v>
      </c>
      <c r="D50" s="41">
        <f>D49+D31</f>
        <v>210033.03999999998</v>
      </c>
      <c r="E50" s="41">
        <f>E49+E31</f>
        <v>95601.209999999992</v>
      </c>
      <c r="F50" s="41">
        <f>F49+F31</f>
        <v>0</v>
      </c>
      <c r="G50" s="41">
        <f>G49+G31</f>
        <v>324527.63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14682446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7397.5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12732.26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13183.73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434055.25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64643.030000000006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84772.790000000008</v>
      </c>
      <c r="D61" s="130">
        <f>SUM(D56:D60)</f>
        <v>434055.25</v>
      </c>
      <c r="E61" s="130">
        <f>SUM(E56:E60)</f>
        <v>0</v>
      </c>
      <c r="F61" s="130">
        <f>SUM(F56:F60)</f>
        <v>0</v>
      </c>
      <c r="G61" s="130">
        <f>SUM(G56:G60)</f>
        <v>13183.73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14767218.789999999</v>
      </c>
      <c r="D62" s="22">
        <f>D55+D61</f>
        <v>434055.25</v>
      </c>
      <c r="E62" s="22">
        <f>E55+E61</f>
        <v>0</v>
      </c>
      <c r="F62" s="22">
        <f>F55+F61</f>
        <v>0</v>
      </c>
      <c r="G62" s="22">
        <f>G55+G61</f>
        <v>13183.73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555746.49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4440471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481.51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42225.52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4996699</v>
      </c>
      <c r="D69" s="139">
        <f>D68</f>
        <v>0</v>
      </c>
      <c r="E69" s="139">
        <f>E68</f>
        <v>42225.52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574839.18000000005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132284.66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5694.52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5318.57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712818.3600000001</v>
      </c>
      <c r="D77" s="130">
        <f>SUM(D71:D76)</f>
        <v>5318.57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5709517.3600000003</v>
      </c>
      <c r="D80" s="130">
        <f>SUM(D78:D79)+D77+D69</f>
        <v>5318.57</v>
      </c>
      <c r="E80" s="130">
        <f>SUM(E78:E79)+E77+E69</f>
        <v>42225.52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106063.95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118905.15</v>
      </c>
      <c r="D87" s="95">
        <f>SUM('DOE25'!G152:G160)</f>
        <v>139442.91</v>
      </c>
      <c r="E87" s="95">
        <f>SUM('DOE25'!H152:H160)</f>
        <v>582105.19999999995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118905.15</v>
      </c>
      <c r="D90" s="131">
        <f>SUM(D84:D89)</f>
        <v>139442.91</v>
      </c>
      <c r="E90" s="131">
        <f>SUM(E84:E89)</f>
        <v>688169.14999999991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20595641.299999997</v>
      </c>
      <c r="D103" s="86">
        <f>D62+D80+D90+D102</f>
        <v>578816.73</v>
      </c>
      <c r="E103" s="86">
        <f>E62+E80+E90+E102</f>
        <v>730394.66999999993</v>
      </c>
      <c r="F103" s="86">
        <f>F62+F80+F90+F102</f>
        <v>0</v>
      </c>
      <c r="G103" s="86">
        <f>G62+G80+G102</f>
        <v>113183.73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8167079.9100000001</v>
      </c>
      <c r="D108" s="24" t="s">
        <v>289</v>
      </c>
      <c r="E108" s="95">
        <f>('DOE25'!L275)+('DOE25'!L294)+('DOE25'!L313)</f>
        <v>452350.42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2887801.0300000003</v>
      </c>
      <c r="D109" s="24" t="s">
        <v>289</v>
      </c>
      <c r="E109" s="95">
        <f>('DOE25'!L276)+('DOE25'!L295)+('DOE25'!L314)</f>
        <v>243635.86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162737.46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766348.2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106660.50000000001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12090627.100000001</v>
      </c>
      <c r="D114" s="86">
        <f>SUM(D108:D113)</f>
        <v>0</v>
      </c>
      <c r="E114" s="86">
        <f>SUM(E108:E113)</f>
        <v>695986.28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1150821.4700000002</v>
      </c>
      <c r="D117" s="24" t="s">
        <v>289</v>
      </c>
      <c r="E117" s="95">
        <f>+('DOE25'!L280)+('DOE25'!L299)+('DOE25'!L318)</f>
        <v>5037.2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871618.7</v>
      </c>
      <c r="D118" s="24" t="s">
        <v>289</v>
      </c>
      <c r="E118" s="95">
        <f>+('DOE25'!L281)+('DOE25'!L300)+('DOE25'!L319)</f>
        <v>50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680674.3</v>
      </c>
      <c r="D119" s="24" t="s">
        <v>289</v>
      </c>
      <c r="E119" s="95">
        <f>+('DOE25'!L282)+('DOE25'!L301)+('DOE25'!L320)</f>
        <v>29321.19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1142006.5599999998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1879801.59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715269.6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662902.46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6440392.2199999997</v>
      </c>
      <c r="D127" s="86">
        <f>SUM(D117:D126)</f>
        <v>662902.46</v>
      </c>
      <c r="E127" s="86">
        <f>SUM(E117:E126)</f>
        <v>34408.39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1030000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955922.5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113183.73000000001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-13183.73000000001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2085922.5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20616941.82</v>
      </c>
      <c r="D144" s="86">
        <f>(D114+D127+D143)</f>
        <v>662902.46</v>
      </c>
      <c r="E144" s="86">
        <f>(E114+E127+E143)</f>
        <v>730394.67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August 2004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August 2024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25484800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20575000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20575000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1985922.5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1985922.5</v>
      </c>
    </row>
    <row r="158" spans="1:9" x14ac:dyDescent="0.2">
      <c r="A158" s="22" t="s">
        <v>35</v>
      </c>
      <c r="B158" s="137">
        <f>'DOE25'!F497</f>
        <v>19245000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19245000</v>
      </c>
    </row>
    <row r="159" spans="1:9" x14ac:dyDescent="0.2">
      <c r="A159" s="22" t="s">
        <v>36</v>
      </c>
      <c r="B159" s="137">
        <f>'DOE25'!F498</f>
        <v>6355164.25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6355164.25</v>
      </c>
    </row>
    <row r="160" spans="1:9" x14ac:dyDescent="0.2">
      <c r="A160" s="22" t="s">
        <v>37</v>
      </c>
      <c r="B160" s="137">
        <f>'DOE25'!F499</f>
        <v>25600164.25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25600164.25</v>
      </c>
    </row>
    <row r="161" spans="1:7" x14ac:dyDescent="0.2">
      <c r="A161" s="22" t="s">
        <v>38</v>
      </c>
      <c r="B161" s="137">
        <f>'DOE25'!F500</f>
        <v>1080000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1080000</v>
      </c>
    </row>
    <row r="162" spans="1:7" x14ac:dyDescent="0.2">
      <c r="A162" s="22" t="s">
        <v>39</v>
      </c>
      <c r="B162" s="137">
        <f>'DOE25'!F501</f>
        <v>903168.5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903168.5</v>
      </c>
    </row>
    <row r="163" spans="1:7" x14ac:dyDescent="0.2">
      <c r="A163" s="22" t="s">
        <v>246</v>
      </c>
      <c r="B163" s="137">
        <f>'DOE25'!F502</f>
        <v>1983168.5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1983168.5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WINNACUNNET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14954</v>
      </c>
    </row>
    <row r="7" spans="1:4" x14ac:dyDescent="0.2">
      <c r="B7" t="s">
        <v>705</v>
      </c>
      <c r="C7" s="179">
        <f>IF('DOE25'!I664+'DOE25'!I669=0,0,ROUND('DOE25'!I671,0))</f>
        <v>14954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8619430</v>
      </c>
      <c r="D10" s="182">
        <f>ROUND((C10/$C$28)*100,1)</f>
        <v>42.2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3131437</v>
      </c>
      <c r="D11" s="182">
        <f>ROUND((C11/$C$28)*100,1)</f>
        <v>15.3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162737</v>
      </c>
      <c r="D12" s="182">
        <f>ROUND((C12/$C$28)*100,1)</f>
        <v>0.8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766348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1155859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871669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710195</v>
      </c>
      <c r="D17" s="182">
        <f t="shared" si="0"/>
        <v>3.5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1142007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1879802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715270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106661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ROUND('DOE25'!L260+'DOE25'!L341,0)</f>
        <v>955923</v>
      </c>
      <c r="D25" s="182">
        <f t="shared" si="0"/>
        <v>4.7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228846.75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20446184.75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20446184.75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1030000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14682446</v>
      </c>
      <c r="D35" s="182">
        <f t="shared" ref="D35:D40" si="1">ROUND((C35/$C$41)*100,1)</f>
        <v>68.3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97956.519999999553</v>
      </c>
      <c r="D36" s="182">
        <f t="shared" si="1"/>
        <v>0.5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4996699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760362</v>
      </c>
      <c r="D38" s="182">
        <f t="shared" si="1"/>
        <v>3.5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946517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21483980.52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WINNACUNNET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2012-09-05T18:40:25Z</cp:lastPrinted>
  <dcterms:created xsi:type="dcterms:W3CDTF">1997-12-04T19:04:30Z</dcterms:created>
  <dcterms:modified xsi:type="dcterms:W3CDTF">2012-11-21T17:58:38Z</dcterms:modified>
</cp:coreProperties>
</file>