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81" i="1" l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C119" i="2" s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D7" i="13" s="1"/>
  <c r="C7" i="13" s="1"/>
  <c r="L202" i="1"/>
  <c r="L220" i="1"/>
  <c r="L238" i="1"/>
  <c r="F12" i="13"/>
  <c r="G12" i="13"/>
  <c r="L204" i="1"/>
  <c r="C120" i="2" s="1"/>
  <c r="L222" i="1"/>
  <c r="L240" i="1"/>
  <c r="F14" i="13"/>
  <c r="G14" i="13"/>
  <c r="L206" i="1"/>
  <c r="L224" i="1"/>
  <c r="L242" i="1"/>
  <c r="F15" i="13"/>
  <c r="G15" i="13"/>
  <c r="L207" i="1"/>
  <c r="C21" i="10" s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H660" i="1" s="1"/>
  <c r="L358" i="1"/>
  <c r="L359" i="1"/>
  <c r="I366" i="1"/>
  <c r="J289" i="1"/>
  <c r="J308" i="1"/>
  <c r="J327" i="1"/>
  <c r="K289" i="1"/>
  <c r="K308" i="1"/>
  <c r="K327" i="1"/>
  <c r="L275" i="1"/>
  <c r="L289" i="1" s="1"/>
  <c r="L276" i="1"/>
  <c r="L277" i="1"/>
  <c r="L278" i="1"/>
  <c r="L280" i="1"/>
  <c r="E117" i="2" s="1"/>
  <c r="L281" i="1"/>
  <c r="E118" i="2" s="1"/>
  <c r="L282" i="1"/>
  <c r="E119" i="2" s="1"/>
  <c r="L283" i="1"/>
  <c r="E120" i="2" s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130" i="2" s="1"/>
  <c r="L260" i="1"/>
  <c r="C25" i="10" s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92" i="1" s="1"/>
  <c r="C137" i="2" s="1"/>
  <c r="L389" i="1"/>
  <c r="L390" i="1"/>
  <c r="L391" i="1"/>
  <c r="L394" i="1"/>
  <c r="L395" i="1"/>
  <c r="L396" i="1"/>
  <c r="L397" i="1"/>
  <c r="L400" i="1" s="1"/>
  <c r="C138" i="2" s="1"/>
  <c r="L398" i="1"/>
  <c r="L399" i="1"/>
  <c r="L402" i="1"/>
  <c r="L403" i="1"/>
  <c r="L404" i="1"/>
  <c r="L405" i="1"/>
  <c r="L265" i="1"/>
  <c r="J59" i="1"/>
  <c r="G55" i="2" s="1"/>
  <c r="G58" i="2"/>
  <c r="G61" i="2" s="1"/>
  <c r="G60" i="2"/>
  <c r="F2" i="11"/>
  <c r="L612" i="1"/>
  <c r="H662" i="1" s="1"/>
  <c r="L611" i="1"/>
  <c r="G662" i="1" s="1"/>
  <c r="L610" i="1"/>
  <c r="F662" i="1" s="1"/>
  <c r="C40" i="10"/>
  <c r="F59" i="1"/>
  <c r="C35" i="10" s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F168" i="1" s="1"/>
  <c r="G146" i="1"/>
  <c r="G161" i="1"/>
  <c r="H146" i="1"/>
  <c r="H161" i="1"/>
  <c r="H168" i="1" s="1"/>
  <c r="I146" i="1"/>
  <c r="I161" i="1"/>
  <c r="C12" i="10"/>
  <c r="C13" i="10"/>
  <c r="C19" i="10"/>
  <c r="L249" i="1"/>
  <c r="L331" i="1"/>
  <c r="C23" i="10" s="1"/>
  <c r="L253" i="1"/>
  <c r="L267" i="1"/>
  <c r="L268" i="1"/>
  <c r="L348" i="1"/>
  <c r="E141" i="2" s="1"/>
  <c r="E143" i="2" s="1"/>
  <c r="L349" i="1"/>
  <c r="I664" i="1"/>
  <c r="I669" i="1"/>
  <c r="L228" i="1"/>
  <c r="G661" i="1"/>
  <c r="H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F551" i="1" s="1"/>
  <c r="L521" i="1"/>
  <c r="F549" i="1" s="1"/>
  <c r="L522" i="1"/>
  <c r="F550" i="1" s="1"/>
  <c r="L525" i="1"/>
  <c r="G548" i="1" s="1"/>
  <c r="L526" i="1"/>
  <c r="G549" i="1" s="1"/>
  <c r="L527" i="1"/>
  <c r="G550" i="1" s="1"/>
  <c r="K550" i="1" s="1"/>
  <c r="L530" i="1"/>
  <c r="H548" i="1" s="1"/>
  <c r="H551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7" i="2" s="1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C102" i="2" s="1"/>
  <c r="D99" i="2"/>
  <c r="E99" i="2"/>
  <c r="F99" i="2"/>
  <c r="C100" i="2"/>
  <c r="D100" i="2"/>
  <c r="E100" i="2"/>
  <c r="F100" i="2"/>
  <c r="C101" i="2"/>
  <c r="D101" i="2"/>
  <c r="E101" i="2"/>
  <c r="F101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8" i="2"/>
  <c r="C121" i="2"/>
  <c r="E121" i="2"/>
  <c r="C122" i="2"/>
  <c r="E122" i="2"/>
  <c r="E123" i="2"/>
  <c r="C124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F32" i="1"/>
  <c r="G32" i="1"/>
  <c r="H32" i="1"/>
  <c r="I32" i="1"/>
  <c r="F50" i="1"/>
  <c r="G621" i="1" s="1"/>
  <c r="G50" i="1"/>
  <c r="G622" i="1" s="1"/>
  <c r="H50" i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F191" i="1" s="1"/>
  <c r="G187" i="1"/>
  <c r="H187" i="1"/>
  <c r="I187" i="1"/>
  <c r="F210" i="1"/>
  <c r="F256" i="1" s="1"/>
  <c r="F270" i="1" s="1"/>
  <c r="G210" i="1"/>
  <c r="G256" i="1" s="1"/>
  <c r="G270" i="1" s="1"/>
  <c r="H210" i="1"/>
  <c r="I210" i="1"/>
  <c r="J210" i="1"/>
  <c r="J256" i="1" s="1"/>
  <c r="J270" i="1" s="1"/>
  <c r="K210" i="1"/>
  <c r="K256" i="1" s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F337" i="1" s="1"/>
  <c r="F351" i="1" s="1"/>
  <c r="G289" i="1"/>
  <c r="H289" i="1"/>
  <c r="H337" i="1" s="1"/>
  <c r="H351" i="1" s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6" i="1" s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G639" i="1" s="1"/>
  <c r="H445" i="1"/>
  <c r="F451" i="1"/>
  <c r="G451" i="1"/>
  <c r="H451" i="1"/>
  <c r="I451" i="1"/>
  <c r="F459" i="1"/>
  <c r="G459" i="1"/>
  <c r="G460" i="1" s="1"/>
  <c r="H639" i="1" s="1"/>
  <c r="H459" i="1"/>
  <c r="F460" i="1"/>
  <c r="H638" i="1" s="1"/>
  <c r="H460" i="1"/>
  <c r="F469" i="1"/>
  <c r="G469" i="1"/>
  <c r="G475" i="1" s="1"/>
  <c r="H622" i="1" s="1"/>
  <c r="H469" i="1"/>
  <c r="I469" i="1"/>
  <c r="J469" i="1"/>
  <c r="F473" i="1"/>
  <c r="G473" i="1"/>
  <c r="H473" i="1"/>
  <c r="I473" i="1"/>
  <c r="J473" i="1"/>
  <c r="J475" i="1" s="1"/>
  <c r="H625" i="1" s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I544" i="1" s="1"/>
  <c r="J523" i="1"/>
  <c r="J544" i="1" s="1"/>
  <c r="K523" i="1"/>
  <c r="L523" i="1"/>
  <c r="F528" i="1"/>
  <c r="G528" i="1"/>
  <c r="H528" i="1"/>
  <c r="I528" i="1"/>
  <c r="J528" i="1"/>
  <c r="K528" i="1"/>
  <c r="F533" i="1"/>
  <c r="G533" i="1"/>
  <c r="G544" i="1" s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4" i="1" s="1"/>
  <c r="L562" i="1"/>
  <c r="L563" i="1"/>
  <c r="F564" i="1"/>
  <c r="G564" i="1"/>
  <c r="H564" i="1"/>
  <c r="H570" i="1" s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J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9" i="1"/>
  <c r="G623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40" i="1"/>
  <c r="H640" i="1"/>
  <c r="G642" i="1"/>
  <c r="H642" i="1"/>
  <c r="G643" i="1"/>
  <c r="G644" i="1"/>
  <c r="H644" i="1"/>
  <c r="G649" i="1"/>
  <c r="G650" i="1"/>
  <c r="G651" i="1"/>
  <c r="H651" i="1"/>
  <c r="G652" i="1"/>
  <c r="H652" i="1"/>
  <c r="G653" i="1"/>
  <c r="H653" i="1"/>
  <c r="H654" i="1"/>
  <c r="L255" i="1"/>
  <c r="I256" i="1"/>
  <c r="I270" i="1" s="1"/>
  <c r="G163" i="2"/>
  <c r="G159" i="2"/>
  <c r="F31" i="2"/>
  <c r="L327" i="1"/>
  <c r="L350" i="1"/>
  <c r="A31" i="12"/>
  <c r="C69" i="2"/>
  <c r="G161" i="2"/>
  <c r="E49" i="2"/>
  <c r="D18" i="13"/>
  <c r="C18" i="13" s="1"/>
  <c r="F102" i="2"/>
  <c r="D17" i="13"/>
  <c r="C17" i="13" s="1"/>
  <c r="G158" i="2"/>
  <c r="C90" i="2"/>
  <c r="G80" i="2"/>
  <c r="F77" i="2"/>
  <c r="F80" i="2" s="1"/>
  <c r="F61" i="2"/>
  <c r="F62" i="2" s="1"/>
  <c r="D49" i="2"/>
  <c r="G156" i="2"/>
  <c r="F49" i="2"/>
  <c r="F50" i="2" s="1"/>
  <c r="F18" i="2"/>
  <c r="G162" i="2"/>
  <c r="G160" i="2"/>
  <c r="G157" i="2"/>
  <c r="G155" i="2"/>
  <c r="G102" i="2"/>
  <c r="E102" i="2"/>
  <c r="F90" i="2"/>
  <c r="E61" i="2"/>
  <c r="E62" i="2" s="1"/>
  <c r="D19" i="13"/>
  <c r="C19" i="13" s="1"/>
  <c r="D14" i="13"/>
  <c r="C14" i="13" s="1"/>
  <c r="E13" i="13"/>
  <c r="C13" i="13" s="1"/>
  <c r="E77" i="2"/>
  <c r="E80" i="2" s="1"/>
  <c r="H111" i="1"/>
  <c r="J640" i="1"/>
  <c r="K604" i="1"/>
  <c r="G647" i="1" s="1"/>
  <c r="J570" i="1"/>
  <c r="K570" i="1"/>
  <c r="L432" i="1"/>
  <c r="L418" i="1"/>
  <c r="D80" i="2"/>
  <c r="I168" i="1"/>
  <c r="J642" i="1"/>
  <c r="H475" i="1"/>
  <c r="H623" i="1" s="1"/>
  <c r="J623" i="1" s="1"/>
  <c r="I475" i="1"/>
  <c r="H624" i="1" s="1"/>
  <c r="J624" i="1" s="1"/>
  <c r="G337" i="1"/>
  <c r="G351" i="1" s="1"/>
  <c r="J139" i="1"/>
  <c r="F570" i="1"/>
  <c r="I551" i="1"/>
  <c r="K549" i="1"/>
  <c r="G22" i="2"/>
  <c r="K544" i="1"/>
  <c r="J551" i="1"/>
  <c r="C29" i="10"/>
  <c r="H139" i="1"/>
  <c r="F22" i="13"/>
  <c r="C22" i="13" s="1"/>
  <c r="L559" i="1"/>
  <c r="G191" i="1"/>
  <c r="H191" i="1"/>
  <c r="L308" i="1"/>
  <c r="E16" i="13"/>
  <c r="C49" i="2"/>
  <c r="J654" i="1"/>
  <c r="J644" i="1"/>
  <c r="L569" i="1"/>
  <c r="I570" i="1"/>
  <c r="J635" i="1"/>
  <c r="G36" i="2"/>
  <c r="C16" i="13"/>
  <c r="A13" i="12" l="1"/>
  <c r="K548" i="1"/>
  <c r="K551" i="1" s="1"/>
  <c r="F475" i="1"/>
  <c r="H621" i="1" s="1"/>
  <c r="J621" i="1" s="1"/>
  <c r="H544" i="1"/>
  <c r="L533" i="1"/>
  <c r="G551" i="1"/>
  <c r="L528" i="1"/>
  <c r="K597" i="1"/>
  <c r="G646" i="1" s="1"/>
  <c r="L246" i="1"/>
  <c r="H659" i="1" s="1"/>
  <c r="H663" i="1" s="1"/>
  <c r="H666" i="1" s="1"/>
  <c r="C109" i="2"/>
  <c r="I407" i="1"/>
  <c r="C26" i="10"/>
  <c r="J639" i="1"/>
  <c r="I459" i="1"/>
  <c r="I460" i="1" s="1"/>
  <c r="H641" i="1" s="1"/>
  <c r="J638" i="1"/>
  <c r="I445" i="1"/>
  <c r="G641" i="1" s="1"/>
  <c r="J641" i="1" s="1"/>
  <c r="H407" i="1"/>
  <c r="H643" i="1" s="1"/>
  <c r="J643" i="1" s="1"/>
  <c r="H256" i="1"/>
  <c r="H270" i="1" s="1"/>
  <c r="J633" i="1"/>
  <c r="C32" i="10"/>
  <c r="E18" i="2"/>
  <c r="D61" i="2"/>
  <c r="D62" i="2" s="1"/>
  <c r="J622" i="1"/>
  <c r="K337" i="1"/>
  <c r="K351" i="1" s="1"/>
  <c r="K270" i="1"/>
  <c r="E31" i="2"/>
  <c r="E50" i="2" s="1"/>
  <c r="D31" i="2"/>
  <c r="D50" i="2" s="1"/>
  <c r="D18" i="2"/>
  <c r="D29" i="13"/>
  <c r="C29" i="13" s="1"/>
  <c r="C17" i="10"/>
  <c r="C80" i="2"/>
  <c r="C18" i="2"/>
  <c r="H25" i="13"/>
  <c r="C25" i="13" s="1"/>
  <c r="C131" i="2"/>
  <c r="G660" i="1"/>
  <c r="C18" i="10"/>
  <c r="C16" i="10"/>
  <c r="F661" i="1"/>
  <c r="I661" i="1" s="1"/>
  <c r="F660" i="1"/>
  <c r="C15" i="10"/>
  <c r="C108" i="2"/>
  <c r="G648" i="1"/>
  <c r="J648" i="1" s="1"/>
  <c r="H646" i="1"/>
  <c r="J646" i="1" s="1"/>
  <c r="D15" i="13"/>
  <c r="C15" i="13" s="1"/>
  <c r="C123" i="2"/>
  <c r="C117" i="2"/>
  <c r="H51" i="1"/>
  <c r="H618" i="1" s="1"/>
  <c r="J618" i="1" s="1"/>
  <c r="C20" i="10"/>
  <c r="E108" i="2"/>
  <c r="E114" i="2" s="1"/>
  <c r="D12" i="13"/>
  <c r="C12" i="13" s="1"/>
  <c r="E8" i="13"/>
  <c r="C8" i="13" s="1"/>
  <c r="G51" i="1"/>
  <c r="H617" i="1" s="1"/>
  <c r="J617" i="1" s="1"/>
  <c r="D126" i="2"/>
  <c r="D127" i="2" s="1"/>
  <c r="D144" i="2" s="1"/>
  <c r="E127" i="2"/>
  <c r="D6" i="13"/>
  <c r="C6" i="13" s="1"/>
  <c r="L210" i="1"/>
  <c r="C11" i="10"/>
  <c r="D5" i="13"/>
  <c r="C5" i="13" s="1"/>
  <c r="C10" i="10"/>
  <c r="C61" i="2"/>
  <c r="C55" i="2"/>
  <c r="F111" i="1"/>
  <c r="C36" i="10" s="1"/>
  <c r="C31" i="2"/>
  <c r="C50" i="2" s="1"/>
  <c r="F51" i="1"/>
  <c r="H616" i="1" s="1"/>
  <c r="J616" i="1" s="1"/>
  <c r="L337" i="1"/>
  <c r="L351" i="1" s="1"/>
  <c r="G632" i="1" s="1"/>
  <c r="J632" i="1" s="1"/>
  <c r="C24" i="10"/>
  <c r="G659" i="1"/>
  <c r="G31" i="13"/>
  <c r="G33" i="13" s="1"/>
  <c r="I337" i="1"/>
  <c r="I351" i="1" s="1"/>
  <c r="J649" i="1"/>
  <c r="L406" i="1"/>
  <c r="C139" i="2" s="1"/>
  <c r="C140" i="2" s="1"/>
  <c r="L570" i="1"/>
  <c r="I191" i="1"/>
  <c r="E90" i="2"/>
  <c r="E103" i="2" s="1"/>
  <c r="L407" i="1"/>
  <c r="G636" i="1" s="1"/>
  <c r="J636" i="1" s="1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G62" i="2"/>
  <c r="G103" i="2" s="1"/>
  <c r="G42" i="2"/>
  <c r="J50" i="1"/>
  <c r="G16" i="2"/>
  <c r="J19" i="1"/>
  <c r="G620" i="1" s="1"/>
  <c r="G18" i="2"/>
  <c r="F544" i="1"/>
  <c r="H433" i="1"/>
  <c r="J619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J651" i="1"/>
  <c r="G570" i="1"/>
  <c r="I433" i="1"/>
  <c r="G433" i="1"/>
  <c r="I662" i="1"/>
  <c r="C27" i="10"/>
  <c r="G634" i="1"/>
  <c r="J634" i="1" s="1"/>
  <c r="L544" i="1" l="1"/>
  <c r="L256" i="1"/>
  <c r="L270" i="1" s="1"/>
  <c r="G631" i="1" s="1"/>
  <c r="J631" i="1" s="1"/>
  <c r="C114" i="2"/>
  <c r="H645" i="1"/>
  <c r="J645" i="1" s="1"/>
  <c r="C143" i="2"/>
  <c r="H33" i="13"/>
  <c r="G663" i="1"/>
  <c r="G666" i="1" s="1"/>
  <c r="I660" i="1"/>
  <c r="D31" i="13"/>
  <c r="C31" i="13" s="1"/>
  <c r="C127" i="2"/>
  <c r="E144" i="2"/>
  <c r="E33" i="13"/>
  <c r="D35" i="13" s="1"/>
  <c r="F659" i="1"/>
  <c r="F663" i="1" s="1"/>
  <c r="F666" i="1" s="1"/>
  <c r="H671" i="1"/>
  <c r="C6" i="10" s="1"/>
  <c r="G671" i="1"/>
  <c r="C5" i="10" s="1"/>
  <c r="C28" i="10"/>
  <c r="D22" i="10" s="1"/>
  <c r="C62" i="2"/>
  <c r="C103" i="2" s="1"/>
  <c r="F192" i="1"/>
  <c r="G626" i="1" s="1"/>
  <c r="J626" i="1" s="1"/>
  <c r="G630" i="1"/>
  <c r="J630" i="1" s="1"/>
  <c r="D33" i="13"/>
  <c r="D36" i="13" s="1"/>
  <c r="G192" i="1"/>
  <c r="G627" i="1" s="1"/>
  <c r="J627" i="1" s="1"/>
  <c r="G625" i="1"/>
  <c r="J625" i="1" s="1"/>
  <c r="J51" i="1"/>
  <c r="H620" i="1" s="1"/>
  <c r="J620" i="1" s="1"/>
  <c r="C38" i="10"/>
  <c r="C144" i="2" l="1"/>
  <c r="I659" i="1"/>
  <c r="I663" i="1" s="1"/>
  <c r="I671" i="1" s="1"/>
  <c r="C7" i="10" s="1"/>
  <c r="F671" i="1"/>
  <c r="C4" i="10" s="1"/>
  <c r="D21" i="10"/>
  <c r="D27" i="10"/>
  <c r="D18" i="10"/>
  <c r="D15" i="10"/>
  <c r="C30" i="10"/>
  <c r="D25" i="10"/>
  <c r="D10" i="10"/>
  <c r="D12" i="10"/>
  <c r="D16" i="10"/>
  <c r="D20" i="10"/>
  <c r="D13" i="10"/>
  <c r="D24" i="10"/>
  <c r="D26" i="10"/>
  <c r="D19" i="10"/>
  <c r="D17" i="10"/>
  <c r="D23" i="10"/>
  <c r="D11" i="10"/>
  <c r="H655" i="1"/>
  <c r="C41" i="10"/>
  <c r="D38" i="10" s="1"/>
  <c r="I66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<sst xmlns="http://schemas.openxmlformats.org/spreadsheetml/2006/main" count="3954" uniqueCount="912">
  <si>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</si>
  <si>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</si>
  <si>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</si>
  <si>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</si>
  <si>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</si>
  <si>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</si>
  <si>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</si>
  <si>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</si>
  <si>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</si>
  <si>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</si>
  <si>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</si>
  <si>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</si>
  <si>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</si>
  <si>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</si>
  <si>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</si>
  <si>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</si>
  <si>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</si>
  <si>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</si>
  <si>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</si>
  <si>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</si>
  <si>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</si>
  <si>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</si>
  <si>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</si>
  <si>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</si>
  <si>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</si>
  <si>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</si>
  <si>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</si>
  <si>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</si>
  <si>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</si>
  <si>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</si>
  <si>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</si>
  <si>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</si>
  <si>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</si>
  <si>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</si>
  <si>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</si>
  <si>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</si>
  <si>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</si>
  <si>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</si>
  <si>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</si>
  <si>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</si>
  <si>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</si>
  <si>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</si>
  <si>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</si>
  <si>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</si>
  <si>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</si>
  <si>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</si>
  <si>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</si>
  <si>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</si>
  <si>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</si>
  <si>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</si>
  <si>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</si>
  <si>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</si>
  <si>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</si>
  <si>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</si>
  <si>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</si>
  <si>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</si>
  <si>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</si>
  <si>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</si>
  <si>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</si>
  <si>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</si>
  <si>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</si>
  <si>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</si>
  <si>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</si>
  <si>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</si>
  <si>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</si>
  <si>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</si>
  <si>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</si>
  <si>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</si>
  <si>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</si>
  <si>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</si>
  <si>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</si>
  <si>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</si>
  <si>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</si>
  <si>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</si>
  <si>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</si>
  <si>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</si>
  <si>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</si>
  <si>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</si>
  <si>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</si>
  <si>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</si>
  <si>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</si>
  <si>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</si>
  <si>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</si>
  <si>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</si>
  <si>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</si>
  <si>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</si>
  <si>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</si>
  <si>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</si>
  <si>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</si>
  <si>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</si>
  <si>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</si>
  <si>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</si>
  <si>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</si>
  <si>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</si>
  <si>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</si>
  <si>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</si>
  <si>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</si>
  <si>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</si>
  <si>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</si>
  <si>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</si>
  <si>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</si>
  <si>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</si>
  <si>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</si>
  <si>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</si>
  <si>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</si>
  <si>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</si>
  <si>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</si>
  <si>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</si>
  <si>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</si>
  <si>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</si>
  <si>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</si>
  <si>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</si>
  <si>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</si>
  <si>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</si>
  <si>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</si>
  <si>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</si>
  <si>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</si>
  <si>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</si>
  <si>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</si>
  <si>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</si>
  <si>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</si>
  <si>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</si>
  <si>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</si>
  <si>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</si>
  <si>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</si>
  <si>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</si>
  <si>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</si>
  <si>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</si>
  <si>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</si>
  <si>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</si>
  <si>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</si>
  <si>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</si>
  <si>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</si>
  <si>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</si>
  <si>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</si>
  <si>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</si>
  <si>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</si>
  <si>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</si>
  <si>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</si>
  <si>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</si>
  <si>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</si>
  <si>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</si>
  <si>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</si>
  <si>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</si>
  <si>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</si>
  <si>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</si>
  <si>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</si>
  <si>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</si>
  <si>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</si>
  <si>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</si>
  <si>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</si>
  <si>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</si>
  <si>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</si>
  <si>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</si>
  <si>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</si>
  <si>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</si>
  <si>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</si>
  <si>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</si>
  <si>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</si>
  <si>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</si>
  <si>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</si>
  <si>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</si>
  <si>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</si>
  <si>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</si>
  <si>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</si>
  <si>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</si>
  <si>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</si>
  <si>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</si>
  <si>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</si>
  <si>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</si>
  <si>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</si>
  <si>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</si>
  <si>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</si>
  <si>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</si>
  <si>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</si>
  <si>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</si>
  <si>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</si>
  <si>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</si>
  <si>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</si>
  <si>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</si>
  <si>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</si>
  <si>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</si>
  <si>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</si>
  <si>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</si>
  <si>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</si>
  <si>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</si>
  <si>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</si>
  <si>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</si>
  <si>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</si>
  <si>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</si>
  <si>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</si>
  <si>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</si>
  <si>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</si>
  <si>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</si>
  <si>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</si>
  <si>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</si>
  <si>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</si>
  <si>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</si>
  <si>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</si>
  <si>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</si>
  <si>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</si>
  <si>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</si>
  <si>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</si>
  <si>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</si>
  <si>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</si>
  <si>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</si>
  <si>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</si>
  <si>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</si>
  <si>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</si>
  <si>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</si>
  <si>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</si>
  <si>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</si>
  <si>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</si>
  <si>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</si>
  <si>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</si>
  <si>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</si>
  <si>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</si>
  <si>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</si>
  <si>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</si>
  <si>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</si>
  <si>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</si>
  <si>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</si>
  <si>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</si>
  <si>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</si>
  <si>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</si>
  <si>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</si>
  <si>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</si>
  <si>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</si>
  <si>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</si>
  <si>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</si>
  <si>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</si>
  <si>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</si>
  <si>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</si>
  <si>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</si>
  <si>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</si>
  <si>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</si>
  <si>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</si>
  <si>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</si>
  <si>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</si>
  <si>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</si>
  <si>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</si>
  <si>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</si>
  <si>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</si>
  <si>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</si>
  <si>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</si>
  <si>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</si>
  <si>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</si>
  <si>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</si>
  <si>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</si>
  <si>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</si>
  <si>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</si>
  <si>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</si>
  <si>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</si>
  <si>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</si>
  <si>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</si>
  <si>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</si>
  <si>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</si>
  <si>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</si>
  <si>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</si>
  <si>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</si>
  <si>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</si>
  <si>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</si>
  <si>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</si>
  <si>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</si>
  <si>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</si>
  <si>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</si>
  <si>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</si>
  <si>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</si>
  <si>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</si>
  <si>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</si>
  <si>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</si>
  <si>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</si>
  <si>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</si>
  <si>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</si>
  <si>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</si>
  <si>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</si>
  <si>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</si>
  <si>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</si>
  <si>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</si>
  <si>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</si>
  <si>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</si>
  <si>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</si>
  <si>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</si>
  <si>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</si>
  <si>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</si>
  <si>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</si>
  <si>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</si>
  <si>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</si>
  <si>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</si>
  <si>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</si>
  <si>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</si>
  <si>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</si>
  <si>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</si>
  <si>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</si>
  <si>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</si>
  <si>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</si>
  <si>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</si>
  <si>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</si>
  <si>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</si>
  <si>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</si>
  <si>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</si>
  <si>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</si>
  <si>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</si>
  <si>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</si>
  <si>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</si>
  <si>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</si>
  <si>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</si>
  <si>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</si>
  <si>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</si>
  <si>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</si>
  <si>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</si>
  <si>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</si>
  <si>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</si>
  <si>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</si>
  <si>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</si>
  <si>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</si>
  <si>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</si>
  <si>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</si>
  <si>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</si>
  <si>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</si>
  <si>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</si>
  <si>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</si>
  <si>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</si>
  <si>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</si>
  <si>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</si>
  <si>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</si>
  <si>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</si>
  <si>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</si>
  <si>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</si>
  <si>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</si>
  <si>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</si>
  <si>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</si>
  <si>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</si>
  <si>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</si>
  <si>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</si>
  <si>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</si>
  <si>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</si>
  <si>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</si>
  <si>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</si>
  <si>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</si>
  <si>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</si>
  <si>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</si>
  <si>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</si>
  <si>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</si>
  <si>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</si>
  <si>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</si>
  <si>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</si>
  <si>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</si>
  <si>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</si>
  <si>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</si>
  <si>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</si>
  <si>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</si>
  <si>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</si>
  <si>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</si>
  <si>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</si>
  <si>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</si>
  <si>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</si>
  <si>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</si>
  <si>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</si>
  <si>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</si>
  <si>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</si>
  <si>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</si>
  <si>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</si>
  <si>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</si>
  <si>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</si>
  <si>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</si>
  <si>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</si>
  <si>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</si>
  <si>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</si>
  <si>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</si>
  <si>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</si>
  <si>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</si>
  <si>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</si>
  <si>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</si>
  <si>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</si>
  <si>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</si>
  <si>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</si>
  <si>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</si>
  <si>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</si>
  <si>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</si>
  <si>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</si>
  <si>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</si>
  <si>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</si>
  <si>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</si>
  <si>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</si>
  <si>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</si>
  <si>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</si>
  <si>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</si>
  <si>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</si>
  <si>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</si>
  <si>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</si>
  <si>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</si>
  <si>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</si>
  <si>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</si>
  <si>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</si>
  <si>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</si>
  <si>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</si>
  <si>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</si>
  <si>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</si>
  <si>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</si>
  <si>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</si>
  <si>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</si>
  <si>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</si>
  <si>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</si>
  <si>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</si>
  <si>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</si>
  <si>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</si>
  <si>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</si>
  <si>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</si>
  <si>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</si>
  <si>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</si>
  <si>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</si>
  <si>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</si>
  <si>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</si>
  <si>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</si>
  <si>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</si>
  <si>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</si>
  <si>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</si>
  <si>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</si>
  <si>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</si>
  <si>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</si>
  <si>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</si>
  <si>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</si>
  <si>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</si>
  <si>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</si>
  <si>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</si>
  <si>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</si>
  <si>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</si>
  <si>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</si>
  <si>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</si>
  <si>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</si>
  <si>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</si>
  <si>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</si>
  <si>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</si>
  <si>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</si>
  <si>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</si>
  <si>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</si>
  <si>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</si>
  <si>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</si>
  <si>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</si>
  <si>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</si>
  <si>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</si>
  <si>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</si>
  <si>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</si>
  <si>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</si>
  <si>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</si>
  <si>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</si>
  <si>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</si>
  <si>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</si>
  <si>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</si>
  <si>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</si>
  <si>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</si>
  <si>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</si>
  <si>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</si>
  <si>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</si>
  <si>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</si>
  <si>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</si>
  <si>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</si>
  <si>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</si>
  <si>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</si>
  <si>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</si>
  <si>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</si>
  <si>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</si>
  <si>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</si>
  <si>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</si>
  <si>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</si>
  <si>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</si>
  <si>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</si>
  <si>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</si>
  <si>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</si>
  <si>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</si>
  <si>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</si>
  <si>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</si>
  <si>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</si>
  <si>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</si>
  <si>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</si>
  <si>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</si>
  <si>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</si>
  <si>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</si>
  <si>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</si>
  <si>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</si>
  <si>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</si>
  <si>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</si>
  <si>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</si>
  <si>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</si>
  <si>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</si>
  <si>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</si>
  <si>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</si>
  <si>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</si>
  <si>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</si>
  <si>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</si>
  <si>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</si>
  <si>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</si>
  <si>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</si>
  <si>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</si>
  <si>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</si>
  <si>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</si>
  <si>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</si>
  <si>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</si>
  <si>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</si>
  <si>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</si>
  <si>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</si>
  <si>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</si>
  <si>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</si>
  <si>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</si>
  <si>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</si>
  <si>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</si>
  <si>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</si>
  <si>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</si>
  <si>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</si>
  <si>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</si>
  <si>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</si>
  <si>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</si>
  <si>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</si>
  <si>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</si>
  <si>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</si>
  <si>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</si>
  <si>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</si>
  <si>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</si>
  <si>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</si>
  <si>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</si>
  <si>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</si>
  <si>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</si>
  <si>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</si>
  <si>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</si>
  <si>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</si>
  <si>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</si>
  <si>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</si>
  <si>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</si>
  <si>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</si>
  <si>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</si>
  <si>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</si>
  <si>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</si>
  <si>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</si>
  <si>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</si>
  <si>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</si>
  <si>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</si>
  <si>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</si>
  <si>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</si>
  <si>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</si>
  <si>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</si>
  <si>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</si>
  <si>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</si>
  <si>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</si>
  <si>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</si>
  <si>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</si>
  <si>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</si>
  <si>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</si>
  <si>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</si>
  <si>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</si>
  <si>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</si>
  <si>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</si>
  <si>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</si>
  <si>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</si>
  <si>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</si>
  <si>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</si>
  <si>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</si>
  <si>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</si>
  <si>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</si>
  <si>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</si>
  <si>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</si>
  <si>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</si>
  <si>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</si>
  <si>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</si>
  <si>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</si>
  <si>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</si>
  <si>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</si>
  <si>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</si>
  <si>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</si>
  <si>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</si>
  <si>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</si>
  <si>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</si>
  <si>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</si>
  <si>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</si>
  <si>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</si>
  <si>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</si>
  <si>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</si>
  <si>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</si>
  <si>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</si>
  <si>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</si>
  <si>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</si>
  <si>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</si>
  <si>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</si>
  <si>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</si>
  <si>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</si>
  <si>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</si>
  <si>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</si>
  <si>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</si>
  <si>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</si>
  <si>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</si>
  <si>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</si>
  <si>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</si>
  <si>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</si>
  <si>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</si>
  <si>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</si>
  <si>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</si>
  <si>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</si>
  <si>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</si>
  <si>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</si>
  <si>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</si>
  <si>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</si>
  <si>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</si>
  <si>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</si>
  <si>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</si>
  <si>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</si>
  <si>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</si>
  <si>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</si>
  <si>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</si>
  <si>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</si>
  <si>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</si>
  <si>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</si>
  <si>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</si>
  <si>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</si>
  <si>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</si>
  <si>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</si>
  <si>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</si>
  <si>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</si>
  <si>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</si>
  <si>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</si>
  <si>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</si>
  <si>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</si>
  <si>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</si>
  <si>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</si>
  <si>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</si>
  <si>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</si>
  <si>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</si>
  <si>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</si>
  <si>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</si>
  <si>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</si>
  <si>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</si>
  <si>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</si>
  <si>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</si>
  <si>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</si>
  <si>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</si>
  <si>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</si>
  <si>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</si>
  <si>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</si>
  <si>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</si>
  <si>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</si>
  <si>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</si>
  <si>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</si>
  <si>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</si>
  <si>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</si>
  <si>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</si>
  <si>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</si>
  <si>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</si>
  <si>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</si>
  <si>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</si>
  <si>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</si>
  <si>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</si>
  <si>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</si>
  <si>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</si>
  <si>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</si>
  <si>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</si>
  <si>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</si>
  <si>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</si>
  <si>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</si>
  <si>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</si>
  <si>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</si>
  <si>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</si>
  <si>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</si>
  <si>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</si>
  <si>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</si>
  <si>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</si>
  <si>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</si>
  <si>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</si>
  <si>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</si>
  <si>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</si>
  <si>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</si>
  <si>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</si>
  <si>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</si>
  <si>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</si>
  <si>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</si>
  <si>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</si>
  <si>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</si>
  <si>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</si>
  <si>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</si>
  <si>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</si>
  <si>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</si>
  <si>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</si>
  <si>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</si>
  <si>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</si>
  <si>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</si>
  <si>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</si>
  <si>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</si>
  <si>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</si>
  <si>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</si>
  <si>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</si>
  <si>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</si>
  <si>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</si>
  <si>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</si>
  <si>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</si>
  <si>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</si>
  <si>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</si>
  <si>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</si>
  <si>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</si>
  <si>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</si>
  <si>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</si>
  <si>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</si>
  <si>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</si>
  <si>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</si>
  <si>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</si>
  <si>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</si>
  <si>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</si>
  <si>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</si>
  <si>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</si>
  <si>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</si>
  <si>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</si>
  <si>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</si>
  <si>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</si>
  <si>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</si>
  <si>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</si>
  <si>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</si>
  <si>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</si>
  <si>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</si>
  <si>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</si>
  <si>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</si>
  <si>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</si>
  <si>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</si>
  <si>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</si>
  <si>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</si>
  <si>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</si>
  <si>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</si>
  <si>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</si>
  <si>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</si>
  <si>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</si>
  <si>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</si>
  <si>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</si>
  <si>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</si>
  <si>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</si>
  <si>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</si>
  <si>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</si>
  <si>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</si>
  <si>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</si>
  <si>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</si>
  <si>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</si>
  <si>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</si>
  <si>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</si>
  <si>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</si>
  <si>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</si>
  <si>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</si>
  <si>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</si>
  <si>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</si>
  <si>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</si>
  <si>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</si>
  <si>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</si>
  <si>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</si>
  <si>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</si>
  <si>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</si>
  <si>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</si>
  <si>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</si>
  <si>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</si>
  <si>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</si>
  <si>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</si>
  <si>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</si>
  <si>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</si>
  <si>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</si>
  <si>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</si>
  <si>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</si>
  <si>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</si>
  <si>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</si>
  <si>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</si>
  <si>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</si>
  <si>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</si>
  <si>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</si>
  <si>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</si>
  <si>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</si>
  <si>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</si>
  <si>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</si>
  <si>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</si>
  <si>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</si>
  <si>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</si>
  <si>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</si>
  <si>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</si>
  <si>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</si>
  <si>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</si>
  <si>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</si>
  <si>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</si>
  <si>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</si>
  <si>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</si>
  <si>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</si>
  <si>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</si>
  <si>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</si>
  <si>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</si>
  <si>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</si>
  <si>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</si>
  <si>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</si>
  <si>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</si>
  <si>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</si>
  <si>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</si>
  <si>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</si>
  <si>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</si>
  <si>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</si>
  <si>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</si>
  <si>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</si>
  <si>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</si>
  <si>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</si>
  <si>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</si>
  <si>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</si>
  <si>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</si>
  <si>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</si>
  <si>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</si>
  <si>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</si>
  <si>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</si>
  <si>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</si>
  <si>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</si>
  <si>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</si>
  <si>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</si>
  <si>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</si>
  <si>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</si>
  <si>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</si>
  <si>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</si>
  <si>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</si>
  <si>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</si>
  <si>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</si>
  <si>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</si>
  <si>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</si>
  <si>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</si>
  <si>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</si>
  <si>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</si>
  <si>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</si>
  <si>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</si>
  <si>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</si>
  <si>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</si>
  <si>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</si>
  <si>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</si>
  <si>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</si>
  <si>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</si>
  <si>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</si>
  <si>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</si>
  <si>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</si>
  <si>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</si>
  <si>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</si>
  <si>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</si>
  <si>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</si>
  <si>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</si>
  <si>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</si>
  <si>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</si>
  <si>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</si>
  <si>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</si>
  <si>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</si>
  <si>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</si>
  <si>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</si>
  <si>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</si>
  <si>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</si>
  <si>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</si>
  <si>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</si>
  <si>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</si>
  <si>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</si>
  <si>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</si>
  <si>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</si>
  <si>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</si>
  <si>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</si>
  <si>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</si>
  <si>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</si>
  <si>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</si>
  <si>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</si>
  <si>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</si>
  <si>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</si>
  <si>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</si>
  <si>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</si>
  <si>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</si>
  <si>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</si>
  <si>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</si>
  <si>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</si>
  <si>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</si>
  <si>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</si>
  <si>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</si>
  <si>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</si>
  <si>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</si>
  <si>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</si>
  <si>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</si>
  <si>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</si>
  <si>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</si>
  <si>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</si>
  <si>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</si>
  <si>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</si>
  <si>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</si>
  <si>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</si>
  <si>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</si>
  <si>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</si>
  <si>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</si>
  <si>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</si>
  <si>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</si>
  <si>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</si>
  <si>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</si>
  <si>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</si>
  <si>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</si>
  <si>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</si>
  <si>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</si>
  <si>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</si>
  <si>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</si>
  <si>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</si>
  <si>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</si>
  <si>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</si>
  <si>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</si>
  <si>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</si>
  <si>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</si>
  <si>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</si>
  <si>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</si>
  <si>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</si>
  <si>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</si>
  <si>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</si>
  <si>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</si>
  <si>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</si>
  <si>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</si>
  <si>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</si>
  <si>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</si>
  <si>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</si>
  <si>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Allenstown School District</t>
  </si>
  <si>
    <t>Negative amount in Other Income is for Fair Market Value Loss</t>
  </si>
  <si>
    <t>Positive amount in Other Income is for Fair Market Value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</si>
</sst>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45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9</v>
      </c>
      <c r="C2" s="21">
        <v>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457480.38</v>
      </c>
      <c r="G9" s="18"/>
      <c r="H9" s="18"/>
      <c r="I9" s="18"/>
      <c r="J9" s="67">
        <f>SUM(I438)</f>
        <v>109094.40000000001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52073.91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87550.89</v>
      </c>
      <c r="G13" s="18">
        <v>18276.5</v>
      </c>
      <c r="H13" s="18">
        <v>50585.33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3610.52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1159.29</v>
      </c>
      <c r="G17" s="18">
        <v>7.49</v>
      </c>
      <c r="H17" s="18">
        <v>0</v>
      </c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598264.47000000009</v>
      </c>
      <c r="G19" s="41">
        <f>SUM(G9:G18)</f>
        <v>21894.510000000002</v>
      </c>
      <c r="H19" s="41">
        <f>SUM(H9:H18)</f>
        <v>50585.33</v>
      </c>
      <c r="I19" s="41">
        <f>SUM(I9:I18)</f>
        <v>0</v>
      </c>
      <c r="J19" s="41">
        <f>SUM(J9:J18)</f>
        <v>109094.40000000001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 t="s">
        <v>287</v>
      </c>
      <c r="G22" s="18">
        <v>10669.11</v>
      </c>
      <c r="H22" s="18">
        <v>41404.800000000003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309458.86</v>
      </c>
      <c r="G23" s="18">
        <v>1225.4000000000001</v>
      </c>
      <c r="H23" s="18">
        <v>9180.5300000000007</v>
      </c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>
        <v>0</v>
      </c>
      <c r="H24" s="18">
        <v>0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10934.18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88500.42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>
        <v>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408893.45999999996</v>
      </c>
      <c r="G32" s="41">
        <f>SUM(G22:G31)</f>
        <v>11894.51</v>
      </c>
      <c r="H32" s="41">
        <f>SUM(H22:H31)</f>
        <v>50585.33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10000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109094.40000000001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189371.01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189371.01</v>
      </c>
      <c r="G50" s="41">
        <f>SUM(G35:G49)</f>
        <v>10000</v>
      </c>
      <c r="H50" s="41">
        <f>SUM(H35:H49)</f>
        <v>0</v>
      </c>
      <c r="I50" s="41">
        <f>SUM(I35:I49)</f>
        <v>0</v>
      </c>
      <c r="J50" s="41">
        <f>SUM(J35:J49)</f>
        <v>109094.40000000001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598264.47</v>
      </c>
      <c r="G51" s="41">
        <f>G50+G32</f>
        <v>21894.510000000002</v>
      </c>
      <c r="H51" s="41">
        <f>H50+H32</f>
        <v>50585.33</v>
      </c>
      <c r="I51" s="41">
        <f>I50+I32</f>
        <v>0</v>
      </c>
      <c r="J51" s="41">
        <f>J50+J32</f>
        <v>109094.40000000001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2682072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2682072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0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0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31330.7</v>
      </c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31330.7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0</v>
      </c>
      <c r="G95" s="18"/>
      <c r="H95" s="18"/>
      <c r="I95" s="18"/>
      <c r="J95" s="18">
        <v>1792.51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59893.55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2400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3674.88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5472.97</v>
      </c>
      <c r="G109" s="18">
        <v>57.15</v>
      </c>
      <c r="H109" s="18"/>
      <c r="I109" s="18"/>
      <c r="J109" s="18">
        <v>-8345.25</v>
      </c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11547.85</v>
      </c>
      <c r="G110" s="41">
        <f>SUM(G95:G109)</f>
        <v>59950.700000000004</v>
      </c>
      <c r="H110" s="41">
        <f>SUM(H95:H109)</f>
        <v>0</v>
      </c>
      <c r="I110" s="41">
        <f>SUM(I95:I109)</f>
        <v>0</v>
      </c>
      <c r="J110" s="41">
        <f>SUM(J95:J109)</f>
        <v>-6552.74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2724950.5500000003</v>
      </c>
      <c r="G111" s="41">
        <f>G59+G110</f>
        <v>59950.700000000004</v>
      </c>
      <c r="H111" s="41">
        <f>H59+H78+H93+H110</f>
        <v>0</v>
      </c>
      <c r="I111" s="41">
        <f>I59+I110</f>
        <v>0</v>
      </c>
      <c r="J111" s="41">
        <f>J59+J110</f>
        <v>-6552.74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4397035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621657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0</v>
      </c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5018692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124462.57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2144.52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124462.57</v>
      </c>
      <c r="G135" s="41">
        <f>SUM(G122:G134)</f>
        <v>2144.52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5143154.57</v>
      </c>
      <c r="G139" s="41">
        <f>G120+SUM(G135:G136)</f>
        <v>2144.52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163031.73000000001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74709.11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98497.29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134242.75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v>12270.24</v>
      </c>
      <c r="H160" s="18">
        <v>0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134242.75</v>
      </c>
      <c r="G161" s="41">
        <f>SUM(G149:G160)</f>
        <v>110767.53</v>
      </c>
      <c r="H161" s="41">
        <f>SUM(H149:H160)</f>
        <v>237740.84000000003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134242.75</v>
      </c>
      <c r="G168" s="41">
        <f>G146+G161+SUM(G162:G167)</f>
        <v>110767.53</v>
      </c>
      <c r="H168" s="41">
        <f>H146+H161+SUM(H162:H167)</f>
        <v>237740.84000000003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15550.07</v>
      </c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15550.07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15550.07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8002347.870000001</v>
      </c>
      <c r="G192" s="47">
        <f>G111+G139+G168+G191</f>
        <v>188412.82</v>
      </c>
      <c r="H192" s="47">
        <f>H111+H139+H168+H191</f>
        <v>237740.84000000003</v>
      </c>
      <c r="I192" s="47">
        <f>I111+I139+I168+I191</f>
        <v>0</v>
      </c>
      <c r="J192" s="47">
        <f>J111+J139+J191</f>
        <v>-6552.74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1674099.57</v>
      </c>
      <c r="G196" s="18">
        <v>756848.2</v>
      </c>
      <c r="H196" s="18">
        <v>9430.16</v>
      </c>
      <c r="I196" s="18">
        <v>63891.13</v>
      </c>
      <c r="J196" s="18">
        <v>33964.19</v>
      </c>
      <c r="K196" s="18">
        <v>0</v>
      </c>
      <c r="L196" s="19">
        <f>SUM(F196:K196)</f>
        <v>2538233.25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702636.69</v>
      </c>
      <c r="G197" s="18">
        <v>318900.64</v>
      </c>
      <c r="H197" s="18">
        <v>368968.65</v>
      </c>
      <c r="I197" s="18">
        <v>5134.4399999999996</v>
      </c>
      <c r="J197" s="18">
        <v>3245.84</v>
      </c>
      <c r="K197" s="18">
        <v>445</v>
      </c>
      <c r="L197" s="19">
        <f>SUM(F197:K197)</f>
        <v>1399331.26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21975</v>
      </c>
      <c r="G199" s="18">
        <v>9902.69</v>
      </c>
      <c r="H199" s="18">
        <v>4100</v>
      </c>
      <c r="I199" s="18">
        <v>1340.88</v>
      </c>
      <c r="J199" s="18">
        <v>0</v>
      </c>
      <c r="K199" s="18">
        <v>1070</v>
      </c>
      <c r="L199" s="19">
        <f>SUM(F199:K199)</f>
        <v>38388.57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258705</v>
      </c>
      <c r="G201" s="18">
        <v>117417.57</v>
      </c>
      <c r="H201" s="18">
        <v>369245.27</v>
      </c>
      <c r="I201" s="18">
        <v>8940.84</v>
      </c>
      <c r="J201" s="18">
        <v>169.99</v>
      </c>
      <c r="K201" s="18">
        <v>0</v>
      </c>
      <c r="L201" s="19">
        <f t="shared" ref="L201:L207" si="0">SUM(F201:K201)</f>
        <v>754478.67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63373.34</v>
      </c>
      <c r="G202" s="18">
        <v>37495.39</v>
      </c>
      <c r="H202" s="18">
        <v>8997.64</v>
      </c>
      <c r="I202" s="18">
        <v>9687.74</v>
      </c>
      <c r="J202" s="18">
        <v>0</v>
      </c>
      <c r="K202" s="18">
        <v>70</v>
      </c>
      <c r="L202" s="19">
        <f t="shared" si="0"/>
        <v>119624.11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8250</v>
      </c>
      <c r="G203" s="18">
        <v>4244.01</v>
      </c>
      <c r="H203" s="18">
        <v>177068.03</v>
      </c>
      <c r="I203" s="18">
        <v>1745.86</v>
      </c>
      <c r="J203" s="18"/>
      <c r="K203" s="18">
        <v>5766.48</v>
      </c>
      <c r="L203" s="19">
        <f t="shared" si="0"/>
        <v>197074.38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268616.02</v>
      </c>
      <c r="G204" s="18">
        <v>121661.58</v>
      </c>
      <c r="H204" s="18">
        <v>17131.669999999998</v>
      </c>
      <c r="I204" s="18">
        <v>10893.3</v>
      </c>
      <c r="J204" s="18">
        <v>2198.04</v>
      </c>
      <c r="K204" s="18">
        <v>3583.76</v>
      </c>
      <c r="L204" s="19">
        <f t="shared" si="0"/>
        <v>424084.37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129826.6</v>
      </c>
      <c r="G206" s="18">
        <v>58001.45</v>
      </c>
      <c r="H206" s="18">
        <v>120104.25</v>
      </c>
      <c r="I206" s="18">
        <v>84129.5</v>
      </c>
      <c r="J206" s="18">
        <v>34037.870000000003</v>
      </c>
      <c r="K206" s="18">
        <v>0</v>
      </c>
      <c r="L206" s="19">
        <f t="shared" si="0"/>
        <v>426099.67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323170.31</v>
      </c>
      <c r="I207" s="18">
        <v>0</v>
      </c>
      <c r="J207" s="18"/>
      <c r="K207" s="18"/>
      <c r="L207" s="19">
        <f t="shared" si="0"/>
        <v>323170.31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3127482.2199999997</v>
      </c>
      <c r="G210" s="41">
        <f t="shared" si="1"/>
        <v>1424471.5299999998</v>
      </c>
      <c r="H210" s="41">
        <f t="shared" si="1"/>
        <v>1398215.9800000002</v>
      </c>
      <c r="I210" s="41">
        <f t="shared" si="1"/>
        <v>185763.69</v>
      </c>
      <c r="J210" s="41">
        <f t="shared" si="1"/>
        <v>73615.929999999993</v>
      </c>
      <c r="K210" s="41">
        <f t="shared" si="1"/>
        <v>10935.24</v>
      </c>
      <c r="L210" s="41">
        <f t="shared" si="1"/>
        <v>6220484.5899999999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1696038.3</v>
      </c>
      <c r="I232" s="18"/>
      <c r="J232" s="18"/>
      <c r="K232" s="18"/>
      <c r="L232" s="19">
        <f>SUM(F232:K232)</f>
        <v>1696038.3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608600.12</v>
      </c>
      <c r="I233" s="18"/>
      <c r="J233" s="18"/>
      <c r="K233" s="18"/>
      <c r="L233" s="19">
        <f>SUM(F233:K233)</f>
        <v>608600.12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v>152106.69</v>
      </c>
      <c r="I237" s="18"/>
      <c r="J237" s="18"/>
      <c r="K237" s="18"/>
      <c r="L237" s="19">
        <f t="shared" ref="L237:L243" si="4">SUM(F237:K237)</f>
        <v>152106.69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67031.42</v>
      </c>
      <c r="I243" s="18"/>
      <c r="J243" s="18"/>
      <c r="K243" s="18"/>
      <c r="L243" s="19">
        <f t="shared" si="4"/>
        <v>67031.42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2523776.5299999998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2523776.5299999998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0</v>
      </c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3127482.2199999997</v>
      </c>
      <c r="G256" s="41">
        <f t="shared" si="8"/>
        <v>1424471.5299999998</v>
      </c>
      <c r="H256" s="41">
        <f t="shared" si="8"/>
        <v>3921992.51</v>
      </c>
      <c r="I256" s="41">
        <f t="shared" si="8"/>
        <v>185763.69</v>
      </c>
      <c r="J256" s="41">
        <f t="shared" si="8"/>
        <v>73615.929999999993</v>
      </c>
      <c r="K256" s="41">
        <f t="shared" si="8"/>
        <v>10935.24</v>
      </c>
      <c r="L256" s="41">
        <f t="shared" si="8"/>
        <v>8744261.1199999992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0</v>
      </c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15550.07</v>
      </c>
      <c r="L262" s="19">
        <f>SUM(F262:K262)</f>
        <v>15550.07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49846.98</v>
      </c>
      <c r="L267" s="19">
        <f t="shared" si="9"/>
        <v>49846.98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65397.05</v>
      </c>
      <c r="L269" s="41">
        <f t="shared" si="9"/>
        <v>65397.05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3127482.2199999997</v>
      </c>
      <c r="G270" s="42">
        <f t="shared" si="11"/>
        <v>1424471.5299999998</v>
      </c>
      <c r="H270" s="42">
        <f t="shared" si="11"/>
        <v>3921992.51</v>
      </c>
      <c r="I270" s="42">
        <f t="shared" si="11"/>
        <v>185763.69</v>
      </c>
      <c r="J270" s="42">
        <f t="shared" si="11"/>
        <v>73615.929999999993</v>
      </c>
      <c r="K270" s="42">
        <f t="shared" si="11"/>
        <v>76332.290000000008</v>
      </c>
      <c r="L270" s="42">
        <f t="shared" si="11"/>
        <v>8809658.1699999999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108000</v>
      </c>
      <c r="G275" s="18">
        <v>9286.56</v>
      </c>
      <c r="H275" s="18">
        <v>0</v>
      </c>
      <c r="I275" s="18">
        <v>8863.24</v>
      </c>
      <c r="J275" s="18">
        <v>25076.84</v>
      </c>
      <c r="K275" s="18"/>
      <c r="L275" s="19">
        <f>SUM(F275:K275)</f>
        <v>151226.64000000001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>
        <v>0</v>
      </c>
      <c r="I276" s="18">
        <v>0</v>
      </c>
      <c r="J276" s="18">
        <v>0</v>
      </c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v>0</v>
      </c>
      <c r="I280" s="18">
        <v>0</v>
      </c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11802.5</v>
      </c>
      <c r="G281" s="18">
        <v>1688.06</v>
      </c>
      <c r="H281" s="18">
        <v>65978.95</v>
      </c>
      <c r="I281" s="18">
        <v>1017.91</v>
      </c>
      <c r="J281" s="18">
        <v>2493</v>
      </c>
      <c r="K281" s="18"/>
      <c r="L281" s="19">
        <f t="shared" si="12"/>
        <v>82980.42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3533.78</v>
      </c>
      <c r="L282" s="19">
        <f t="shared" si="12"/>
        <v>3533.78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0</v>
      </c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119802.5</v>
      </c>
      <c r="G289" s="42">
        <f t="shared" si="13"/>
        <v>10974.619999999999</v>
      </c>
      <c r="H289" s="42">
        <f t="shared" si="13"/>
        <v>65978.95</v>
      </c>
      <c r="I289" s="42">
        <f t="shared" si="13"/>
        <v>9881.15</v>
      </c>
      <c r="J289" s="42">
        <f t="shared" si="13"/>
        <v>27569.84</v>
      </c>
      <c r="K289" s="42">
        <f t="shared" si="13"/>
        <v>3533.78</v>
      </c>
      <c r="L289" s="41">
        <f t="shared" si="13"/>
        <v>237740.84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119802.5</v>
      </c>
      <c r="G337" s="41">
        <f t="shared" si="20"/>
        <v>10974.619999999999</v>
      </c>
      <c r="H337" s="41">
        <f t="shared" si="20"/>
        <v>65978.95</v>
      </c>
      <c r="I337" s="41">
        <f t="shared" si="20"/>
        <v>9881.15</v>
      </c>
      <c r="J337" s="41">
        <f t="shared" si="20"/>
        <v>27569.84</v>
      </c>
      <c r="K337" s="41">
        <f t="shared" si="20"/>
        <v>3533.78</v>
      </c>
      <c r="L337" s="41">
        <f t="shared" si="20"/>
        <v>237740.84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 t="s">
        <v>287</v>
      </c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119802.5</v>
      </c>
      <c r="G351" s="41">
        <f>G337</f>
        <v>10974.619999999999</v>
      </c>
      <c r="H351" s="41">
        <f>H337</f>
        <v>65978.95</v>
      </c>
      <c r="I351" s="41">
        <f>I337</f>
        <v>9881.15</v>
      </c>
      <c r="J351" s="41">
        <f>J337</f>
        <v>27569.84</v>
      </c>
      <c r="K351" s="47">
        <f>K337+K350</f>
        <v>3533.78</v>
      </c>
      <c r="L351" s="41">
        <f>L337+L350</f>
        <v>237740.84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72672.52</v>
      </c>
      <c r="G357" s="18">
        <v>8117.36</v>
      </c>
      <c r="H357" s="18">
        <v>3560.25</v>
      </c>
      <c r="I357" s="18">
        <v>103675.46</v>
      </c>
      <c r="J357" s="18">
        <v>138.97999999999999</v>
      </c>
      <c r="K357" s="18">
        <v>248.25</v>
      </c>
      <c r="L357" s="13">
        <f>SUM(F357:K357)</f>
        <v>188412.82000000004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72672.52</v>
      </c>
      <c r="G361" s="47">
        <f t="shared" si="22"/>
        <v>8117.36</v>
      </c>
      <c r="H361" s="47">
        <f t="shared" si="22"/>
        <v>3560.25</v>
      </c>
      <c r="I361" s="47">
        <f t="shared" si="22"/>
        <v>103675.46</v>
      </c>
      <c r="J361" s="47">
        <f t="shared" si="22"/>
        <v>138.97999999999999</v>
      </c>
      <c r="K361" s="47">
        <f t="shared" si="22"/>
        <v>248.25</v>
      </c>
      <c r="L361" s="47">
        <f t="shared" si="22"/>
        <v>188412.82000000004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93039.17</v>
      </c>
      <c r="G366" s="18"/>
      <c r="H366" s="18"/>
      <c r="I366" s="56">
        <f>SUM(F366:H366)</f>
        <v>93039.17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10636.29</v>
      </c>
      <c r="G367" s="63"/>
      <c r="H367" s="63"/>
      <c r="I367" s="56">
        <f>SUM(F367:H367)</f>
        <v>10636.29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103675.45999999999</v>
      </c>
      <c r="G368" s="47">
        <f>SUM(G366:G367)</f>
        <v>0</v>
      </c>
      <c r="H368" s="47">
        <f>SUM(H366:H367)</f>
        <v>0</v>
      </c>
      <c r="I368" s="47">
        <f>SUM(I366:I367)</f>
        <v>103675.45999999999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19.12</v>
      </c>
      <c r="I388" s="18">
        <v>1374.88</v>
      </c>
      <c r="J388" s="24" t="s">
        <v>289</v>
      </c>
      <c r="K388" s="24" t="s">
        <v>289</v>
      </c>
      <c r="L388" s="56">
        <f t="shared" si="25"/>
        <v>1394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19.12</v>
      </c>
      <c r="I392" s="65">
        <f>SUM(I386:I391)</f>
        <v>1374.88</v>
      </c>
      <c r="J392" s="45" t="s">
        <v>289</v>
      </c>
      <c r="K392" s="45" t="s">
        <v>289</v>
      </c>
      <c r="L392" s="47">
        <f>SUM(L386:L391)</f>
        <v>1394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651.74</v>
      </c>
      <c r="I395" s="18">
        <v>-6343.8</v>
      </c>
      <c r="J395" s="24" t="s">
        <v>289</v>
      </c>
      <c r="K395" s="24" t="s">
        <v>289</v>
      </c>
      <c r="L395" s="56">
        <f t="shared" si="26"/>
        <v>-5692.06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773.59</v>
      </c>
      <c r="I396" s="18">
        <v>-5037.5600000000004</v>
      </c>
      <c r="J396" s="24" t="s">
        <v>289</v>
      </c>
      <c r="K396" s="24" t="s">
        <v>289</v>
      </c>
      <c r="L396" s="56">
        <f t="shared" si="26"/>
        <v>-4263.97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250.89</v>
      </c>
      <c r="I397" s="18">
        <v>797.19</v>
      </c>
      <c r="J397" s="24" t="s">
        <v>289</v>
      </c>
      <c r="K397" s="24" t="s">
        <v>289</v>
      </c>
      <c r="L397" s="56">
        <f t="shared" si="26"/>
        <v>1048.08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>
        <v>97.17</v>
      </c>
      <c r="I398" s="18">
        <v>864.04</v>
      </c>
      <c r="J398" s="24" t="s">
        <v>289</v>
      </c>
      <c r="K398" s="24" t="s">
        <v>289</v>
      </c>
      <c r="L398" s="56">
        <f t="shared" si="26"/>
        <v>961.20999999999992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1773.3899999999999</v>
      </c>
      <c r="I400" s="47">
        <f>SUM(I394:I399)</f>
        <v>-9720.130000000001</v>
      </c>
      <c r="J400" s="45" t="s">
        <v>289</v>
      </c>
      <c r="K400" s="45" t="s">
        <v>289</v>
      </c>
      <c r="L400" s="47">
        <f>SUM(L394:L399)</f>
        <v>-7946.7400000000007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1792.5099999999998</v>
      </c>
      <c r="I407" s="47">
        <f>I392+I400+I406</f>
        <v>-8345.25</v>
      </c>
      <c r="J407" s="24" t="s">
        <v>289</v>
      </c>
      <c r="K407" s="24" t="s">
        <v>289</v>
      </c>
      <c r="L407" s="47">
        <f>L392+L400+L406</f>
        <v>-6552.7400000000007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 t="s">
        <v>287</v>
      </c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 t="s">
        <v>287</v>
      </c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6832.66</v>
      </c>
      <c r="G438" s="18">
        <v>102261.74</v>
      </c>
      <c r="H438" s="18"/>
      <c r="I438" s="56">
        <f t="shared" ref="I438:I444" si="33">SUM(F438:H438)</f>
        <v>109094.40000000001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6832.66</v>
      </c>
      <c r="G445" s="13">
        <f>SUM(G438:G444)</f>
        <v>102261.74</v>
      </c>
      <c r="H445" s="13">
        <f>SUM(H438:H444)</f>
        <v>0</v>
      </c>
      <c r="I445" s="13">
        <f>SUM(I438:I444)</f>
        <v>109094.40000000001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6832.66</v>
      </c>
      <c r="G458" s="18">
        <v>102261.74</v>
      </c>
      <c r="H458" s="18"/>
      <c r="I458" s="56">
        <f t="shared" si="34"/>
        <v>109094.40000000001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6832.66</v>
      </c>
      <c r="G459" s="83">
        <f>SUM(G453:G458)</f>
        <v>102261.74</v>
      </c>
      <c r="H459" s="83">
        <f>SUM(H453:H458)</f>
        <v>0</v>
      </c>
      <c r="I459" s="83">
        <f>SUM(I453:I458)</f>
        <v>109094.40000000001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6832.66</v>
      </c>
      <c r="G460" s="42">
        <f>G451+G459</f>
        <v>102261.74</v>
      </c>
      <c r="H460" s="42">
        <f>H451+H459</f>
        <v>0</v>
      </c>
      <c r="I460" s="42">
        <f>I451+I459</f>
        <v>109094.40000000001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996681.31</v>
      </c>
      <c r="G464" s="18">
        <v>10000</v>
      </c>
      <c r="H464" s="18">
        <v>0</v>
      </c>
      <c r="I464" s="18">
        <v>0</v>
      </c>
      <c r="J464" s="18">
        <v>115647.14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8002347.8700000001</v>
      </c>
      <c r="G467" s="18">
        <v>188412.82</v>
      </c>
      <c r="H467" s="18">
        <v>237740.84</v>
      </c>
      <c r="I467" s="18"/>
      <c r="J467" s="18">
        <v>-6552.74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8002347.8700000001</v>
      </c>
      <c r="G469" s="53">
        <f>SUM(G467:G468)</f>
        <v>188412.82</v>
      </c>
      <c r="H469" s="53">
        <f>SUM(H467:H468)</f>
        <v>237740.84</v>
      </c>
      <c r="I469" s="53">
        <f>SUM(I467:I468)</f>
        <v>0</v>
      </c>
      <c r="J469" s="53">
        <f>SUM(J467:J468)</f>
        <v>-6552.74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8809658.1699999999</v>
      </c>
      <c r="G471" s="18">
        <v>188412.82</v>
      </c>
      <c r="H471" s="18">
        <v>237740.84</v>
      </c>
      <c r="I471" s="18"/>
      <c r="J471" s="18">
        <v>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8809658.1699999999</v>
      </c>
      <c r="G473" s="53">
        <f>SUM(G471:G472)</f>
        <v>188412.82</v>
      </c>
      <c r="H473" s="53">
        <f>SUM(H471:H472)</f>
        <v>237740.84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189371.00999999978</v>
      </c>
      <c r="G475" s="53">
        <f>(G464+G469)- G473</f>
        <v>10000</v>
      </c>
      <c r="H475" s="53">
        <f>(H464+H469)- H473</f>
        <v>0</v>
      </c>
      <c r="I475" s="53">
        <f>(I464+I469)- I473</f>
        <v>0</v>
      </c>
      <c r="J475" s="53">
        <f>(J464+J469)- J473</f>
        <v>109094.39999999999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19773.650000000001</v>
      </c>
      <c r="G506" s="144"/>
      <c r="H506" s="144">
        <v>8839.4699999999993</v>
      </c>
      <c r="I506" s="144">
        <v>10934.18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702636.69</v>
      </c>
      <c r="G520" s="18">
        <v>318900.64</v>
      </c>
      <c r="H520" s="18">
        <v>368968.65</v>
      </c>
      <c r="I520" s="18">
        <v>5134.4399999999996</v>
      </c>
      <c r="J520" s="18">
        <v>3245.84</v>
      </c>
      <c r="K520" s="18">
        <v>445</v>
      </c>
      <c r="L520" s="88">
        <f>SUM(F520:K520)</f>
        <v>1399331.26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608600.12</v>
      </c>
      <c r="I522" s="18"/>
      <c r="J522" s="18"/>
      <c r="K522" s="18"/>
      <c r="L522" s="88">
        <f>SUM(F522:K522)</f>
        <v>608600.12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702636.69</v>
      </c>
      <c r="G523" s="108">
        <f t="shared" ref="G523:L523" si="36">SUM(G520:G522)</f>
        <v>318900.64</v>
      </c>
      <c r="H523" s="108">
        <f t="shared" si="36"/>
        <v>977568.77</v>
      </c>
      <c r="I523" s="108">
        <f t="shared" si="36"/>
        <v>5134.4399999999996</v>
      </c>
      <c r="J523" s="108">
        <f t="shared" si="36"/>
        <v>3245.84</v>
      </c>
      <c r="K523" s="108">
        <f t="shared" si="36"/>
        <v>445</v>
      </c>
      <c r="L523" s="89">
        <f t="shared" si="36"/>
        <v>2007931.38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360951.24</v>
      </c>
      <c r="I525" s="18"/>
      <c r="J525" s="18"/>
      <c r="K525" s="18"/>
      <c r="L525" s="88">
        <f>SUM(F525:K525)</f>
        <v>360951.24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152106.69</v>
      </c>
      <c r="I527" s="18"/>
      <c r="J527" s="18"/>
      <c r="K527" s="18"/>
      <c r="L527" s="88">
        <f>SUM(F527:K527)</f>
        <v>152106.69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513057.93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513057.93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8396.7999999999993</v>
      </c>
      <c r="G530" s="18">
        <v>5061.09</v>
      </c>
      <c r="H530" s="18">
        <v>729.73</v>
      </c>
      <c r="I530" s="18"/>
      <c r="J530" s="18"/>
      <c r="K530" s="18"/>
      <c r="L530" s="88">
        <f>SUM(F530:K530)</f>
        <v>14187.619999999999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2099.1999999999998</v>
      </c>
      <c r="G532" s="18">
        <v>1265.27</v>
      </c>
      <c r="H532" s="18">
        <v>182.43</v>
      </c>
      <c r="I532" s="18"/>
      <c r="J532" s="18"/>
      <c r="K532" s="18"/>
      <c r="L532" s="88">
        <f>SUM(F532:K532)</f>
        <v>3546.8999999999996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10496</v>
      </c>
      <c r="G533" s="89">
        <f t="shared" ref="G533:L533" si="38">SUM(G530:G532)</f>
        <v>6326.3600000000006</v>
      </c>
      <c r="H533" s="89">
        <f t="shared" si="38"/>
        <v>912.16000000000008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17734.519999999997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70</v>
      </c>
      <c r="I535" s="18"/>
      <c r="J535" s="18"/>
      <c r="K535" s="18"/>
      <c r="L535" s="88">
        <f>SUM(F535:K535)</f>
        <v>70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70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70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145624.29999999999</v>
      </c>
      <c r="I540" s="18"/>
      <c r="J540" s="18"/>
      <c r="K540" s="18"/>
      <c r="L540" s="88">
        <f>SUM(F540:K540)</f>
        <v>145624.29999999999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67031.42</v>
      </c>
      <c r="I542" s="18"/>
      <c r="J542" s="18"/>
      <c r="K542" s="18"/>
      <c r="L542" s="88">
        <f>SUM(F542:K542)</f>
        <v>67031.42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212655.71999999997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212655.71999999997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713132.69</v>
      </c>
      <c r="G544" s="89">
        <f t="shared" ref="G544:L544" si="41">G523+G528+G533+G538+G543</f>
        <v>325227</v>
      </c>
      <c r="H544" s="89">
        <f t="shared" si="41"/>
        <v>1704264.5799999998</v>
      </c>
      <c r="I544" s="89">
        <f t="shared" si="41"/>
        <v>5134.4399999999996</v>
      </c>
      <c r="J544" s="89">
        <f t="shared" si="41"/>
        <v>3245.84</v>
      </c>
      <c r="K544" s="89">
        <f t="shared" si="41"/>
        <v>445</v>
      </c>
      <c r="L544" s="89">
        <f t="shared" si="41"/>
        <v>2751449.55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1399331.26</v>
      </c>
      <c r="G548" s="87">
        <f>L525</f>
        <v>360951.24</v>
      </c>
      <c r="H548" s="87">
        <f>L530</f>
        <v>14187.619999999999</v>
      </c>
      <c r="I548" s="87">
        <f>L535</f>
        <v>70</v>
      </c>
      <c r="J548" s="87">
        <f>L540</f>
        <v>145624.29999999999</v>
      </c>
      <c r="K548" s="87">
        <f>SUM(F548:J548)</f>
        <v>1920164.4200000002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608600.12</v>
      </c>
      <c r="G550" s="87">
        <f>L527</f>
        <v>152106.69</v>
      </c>
      <c r="H550" s="87">
        <f>L532</f>
        <v>3546.8999999999996</v>
      </c>
      <c r="I550" s="87">
        <f>L537</f>
        <v>0</v>
      </c>
      <c r="J550" s="87">
        <f>L542</f>
        <v>67031.42</v>
      </c>
      <c r="K550" s="87">
        <f>SUM(F550:J550)</f>
        <v>831285.13000000012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2007931.38</v>
      </c>
      <c r="G551" s="89">
        <f t="shared" si="42"/>
        <v>513057.93</v>
      </c>
      <c r="H551" s="89">
        <f t="shared" si="42"/>
        <v>17734.519999999997</v>
      </c>
      <c r="I551" s="89">
        <f t="shared" si="42"/>
        <v>70</v>
      </c>
      <c r="J551" s="89">
        <f t="shared" si="42"/>
        <v>212655.71999999997</v>
      </c>
      <c r="K551" s="89">
        <f t="shared" si="42"/>
        <v>2751449.5500000003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5608.16</v>
      </c>
      <c r="G561" s="18">
        <v>2525.9299999999998</v>
      </c>
      <c r="H561" s="18">
        <v>9239.16</v>
      </c>
      <c r="I561" s="18"/>
      <c r="J561" s="18"/>
      <c r="K561" s="18"/>
      <c r="L561" s="88">
        <f>SUM(F561:K561)</f>
        <v>17373.25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5608.16</v>
      </c>
      <c r="G564" s="89">
        <f t="shared" si="44"/>
        <v>2525.9299999999998</v>
      </c>
      <c r="H564" s="89">
        <f t="shared" si="44"/>
        <v>9239.16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17373.25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5608.16</v>
      </c>
      <c r="G570" s="89">
        <f t="shared" ref="G570:L570" si="46">G559+G564+G569</f>
        <v>2525.9299999999998</v>
      </c>
      <c r="H570" s="89">
        <f t="shared" si="46"/>
        <v>9239.16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17373.25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1696038.3</v>
      </c>
      <c r="I574" s="87">
        <f>SUM(F574:H574)</f>
        <v>1696038.3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6200+339974.53</f>
        <v>346174.53</v>
      </c>
      <c r="G581" s="18"/>
      <c r="H581" s="18">
        <v>368848.54000000004</v>
      </c>
      <c r="I581" s="87">
        <f t="shared" si="47"/>
        <v>715023.07000000007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39395.35</v>
      </c>
      <c r="G582" s="18"/>
      <c r="H582" s="18">
        <v>217917.05</v>
      </c>
      <c r="I582" s="87">
        <f t="shared" si="47"/>
        <v>257312.4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168311.87</v>
      </c>
      <c r="I590" s="18"/>
      <c r="J590" s="18"/>
      <c r="K590" s="104">
        <f t="shared" ref="K590:K596" si="48">SUM(H590:J590)</f>
        <v>168311.87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145624.29999999999</v>
      </c>
      <c r="I591" s="18"/>
      <c r="J591" s="18">
        <v>67031.42</v>
      </c>
      <c r="K591" s="104">
        <f t="shared" si="48"/>
        <v>212655.71999999997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3172.78</v>
      </c>
      <c r="I593" s="18"/>
      <c r="J593" s="18"/>
      <c r="K593" s="104">
        <f t="shared" si="48"/>
        <v>3172.78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6061.36</v>
      </c>
      <c r="I594" s="18"/>
      <c r="J594" s="18"/>
      <c r="K594" s="104">
        <f t="shared" si="48"/>
        <v>6061.36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323170.31</v>
      </c>
      <c r="I597" s="108">
        <f>SUM(I590:I596)</f>
        <v>0</v>
      </c>
      <c r="J597" s="108">
        <f>SUM(J590:J596)</f>
        <v>67031.42</v>
      </c>
      <c r="K597" s="108">
        <f>SUM(K590:K596)</f>
        <v>390201.73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101185.77</v>
      </c>
      <c r="I603" s="18"/>
      <c r="J603" s="18"/>
      <c r="K603" s="104">
        <f>SUM(H603:J603)</f>
        <v>101185.77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101185.77</v>
      </c>
      <c r="I604" s="108">
        <f>SUM(I601:I603)</f>
        <v>0</v>
      </c>
      <c r="J604" s="108">
        <f>SUM(J601:J603)</f>
        <v>0</v>
      </c>
      <c r="K604" s="108">
        <f>SUM(K601:K603)</f>
        <v>101185.77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598264.47000000009</v>
      </c>
      <c r="H616" s="109">
        <f>SUM(F51)</f>
        <v>598264.47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21894.510000000002</v>
      </c>
      <c r="H617" s="109">
        <f>SUM(G51)</f>
        <v>21894.510000000002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50585.33</v>
      </c>
      <c r="H618" s="109">
        <f>SUM(H51)</f>
        <v>50585.33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109094.40000000001</v>
      </c>
      <c r="H620" s="109">
        <f>SUM(J51)</f>
        <v>109094.40000000001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189371.01</v>
      </c>
      <c r="H621" s="109">
        <f>F475</f>
        <v>189371.00999999978</v>
      </c>
      <c r="I621" s="121" t="s">
        <v>101</v>
      </c>
      <c r="J621" s="109">
        <f t="shared" ref="J621:J654" si="50">G621-H621</f>
        <v>2.3283064365386963E-10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10000</v>
      </c>
      <c r="H622" s="109">
        <f>G475</f>
        <v>10000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109094.40000000001</v>
      </c>
      <c r="H625" s="109">
        <f>J475</f>
        <v>109094.39999999999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8002347.870000001</v>
      </c>
      <c r="H626" s="104">
        <f>SUM(F467)</f>
        <v>8002347.8700000001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188412.82</v>
      </c>
      <c r="H627" s="104">
        <f>SUM(G467)</f>
        <v>188412.82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237740.84000000003</v>
      </c>
      <c r="H628" s="104">
        <f>SUM(H467)</f>
        <v>237740.84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-6552.74</v>
      </c>
      <c r="H630" s="104">
        <f>SUM(J467)</f>
        <v>-6552.74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8809658.1699999999</v>
      </c>
      <c r="H631" s="104">
        <f>SUM(F471)</f>
        <v>8809658.1699999999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237740.84</v>
      </c>
      <c r="H632" s="104">
        <f>SUM(H471)</f>
        <v>237740.84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103675.46</v>
      </c>
      <c r="H633" s="104">
        <f>I368</f>
        <v>103675.45999999999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188412.82000000004</v>
      </c>
      <c r="H634" s="104">
        <f>SUM(G471)</f>
        <v>188412.82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-6552.7400000000007</v>
      </c>
      <c r="H636" s="164">
        <f>SUM(J467)</f>
        <v>-6552.74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6832.66</v>
      </c>
      <c r="H638" s="104">
        <f>SUM(F460)</f>
        <v>6832.66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102261.74</v>
      </c>
      <c r="H639" s="104">
        <f>SUM(G460)</f>
        <v>102261.74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109094.40000000001</v>
      </c>
      <c r="H641" s="104">
        <f>SUM(I460)</f>
        <v>109094.40000000001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1792.51</v>
      </c>
      <c r="H643" s="104">
        <f>H407</f>
        <v>1792.5099999999998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-6552.74</v>
      </c>
      <c r="H645" s="104">
        <f>L407</f>
        <v>-6552.7400000000007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390201.73</v>
      </c>
      <c r="H646" s="104">
        <f>L207+L225+L243</f>
        <v>390201.73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101185.77</v>
      </c>
      <c r="H647" s="104">
        <f>(J256+J337)-(J254+J335)</f>
        <v>101185.76999999999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323170.31</v>
      </c>
      <c r="H648" s="104">
        <f>H597</f>
        <v>323170.31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67031.42</v>
      </c>
      <c r="H650" s="104">
        <f>J597</f>
        <v>67031.42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15550.07</v>
      </c>
      <c r="H651" s="104">
        <f>K262+K344</f>
        <v>15550.07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6646638.25</v>
      </c>
      <c r="G659" s="19">
        <f>(L228+L308+L358)</f>
        <v>0</v>
      </c>
      <c r="H659" s="19">
        <f>(L246+L327+L359)</f>
        <v>2523776.5299999998</v>
      </c>
      <c r="I659" s="19">
        <f>SUM(F659:H659)</f>
        <v>9170414.7799999993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59950.700000000004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59950.700000000004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323170.31</v>
      </c>
      <c r="G661" s="19">
        <f>(L225+L305)-(J225+J305)</f>
        <v>0</v>
      </c>
      <c r="H661" s="19">
        <f>(L243+L324)-(J243+J324)</f>
        <v>67031.42</v>
      </c>
      <c r="I661" s="19">
        <f>SUM(F661:H661)</f>
        <v>390201.73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486755.65</v>
      </c>
      <c r="G662" s="199">
        <f>SUM(G574:G586)+SUM(I601:I603)+L611</f>
        <v>0</v>
      </c>
      <c r="H662" s="199">
        <f>SUM(H574:H586)+SUM(J601:J603)+L612</f>
        <v>2282803.89</v>
      </c>
      <c r="I662" s="19">
        <f>SUM(F662:H662)</f>
        <v>2769559.54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5776761.5899999999</v>
      </c>
      <c r="G663" s="19">
        <f>G659-SUM(G660:G662)</f>
        <v>0</v>
      </c>
      <c r="H663" s="19">
        <f>H659-SUM(H660:H662)</f>
        <v>173941.21999999974</v>
      </c>
      <c r="I663" s="19">
        <f>I659-SUM(I660:I662)</f>
        <v>5950702.8099999987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383.82</v>
      </c>
      <c r="G664" s="248"/>
      <c r="H664" s="248"/>
      <c r="I664" s="19">
        <f>SUM(F664:H664)</f>
        <v>383.82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15050.7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15503.89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-173941.22</v>
      </c>
      <c r="I668" s="19">
        <f>SUM(F668:H668)</f>
        <v>-173941.22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15050.7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15050.7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C13" sqref="C1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Allenstown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1782099.57</v>
      </c>
      <c r="C9" s="229">
        <f>'DOE25'!G196+'DOE25'!G214+'DOE25'!G232+'DOE25'!G275+'DOE25'!G294+'DOE25'!G313</f>
        <v>766134.76</v>
      </c>
    </row>
    <row r="10" spans="1:3" x14ac:dyDescent="0.2">
      <c r="A10" t="s">
        <v>779</v>
      </c>
      <c r="B10" s="240">
        <v>1718441.24</v>
      </c>
      <c r="C10" s="240">
        <v>738553.91</v>
      </c>
    </row>
    <row r="11" spans="1:3" x14ac:dyDescent="0.2">
      <c r="A11" t="s">
        <v>780</v>
      </c>
      <c r="B11" s="240">
        <v>4360.17</v>
      </c>
      <c r="C11" s="240">
        <v>2298.4</v>
      </c>
    </row>
    <row r="12" spans="1:3" x14ac:dyDescent="0.2">
      <c r="A12" t="s">
        <v>781</v>
      </c>
      <c r="B12" s="240">
        <v>59298.16</v>
      </c>
      <c r="C12" s="240">
        <v>25282.45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1782099.5699999998</v>
      </c>
      <c r="C13" s="231">
        <f>SUM(C10:C12)</f>
        <v>766134.76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702636.69</v>
      </c>
      <c r="C18" s="229">
        <f>'DOE25'!G197+'DOE25'!G215+'DOE25'!G233+'DOE25'!G276+'DOE25'!G295+'DOE25'!G314</f>
        <v>318900.64</v>
      </c>
    </row>
    <row r="19" spans="1:3" x14ac:dyDescent="0.2">
      <c r="A19" t="s">
        <v>779</v>
      </c>
      <c r="B19" s="240">
        <v>432038.08</v>
      </c>
      <c r="C19" s="240">
        <v>196123.89</v>
      </c>
    </row>
    <row r="20" spans="1:3" x14ac:dyDescent="0.2">
      <c r="A20" t="s">
        <v>780</v>
      </c>
      <c r="B20" s="240">
        <v>214004.05</v>
      </c>
      <c r="C20" s="240">
        <v>97264.7</v>
      </c>
    </row>
    <row r="21" spans="1:3" x14ac:dyDescent="0.2">
      <c r="A21" t="s">
        <v>781</v>
      </c>
      <c r="B21" s="240">
        <v>56594.559999999998</v>
      </c>
      <c r="C21" s="240">
        <v>25512.05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702636.69</v>
      </c>
      <c r="C22" s="231">
        <f>SUM(C19:C21)</f>
        <v>318900.64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21975</v>
      </c>
      <c r="C36" s="235">
        <f>'DOE25'!G199+'DOE25'!G217+'DOE25'!G235+'DOE25'!G278+'DOE25'!G297+'DOE25'!G316</f>
        <v>9902.69</v>
      </c>
    </row>
    <row r="37" spans="1:3" x14ac:dyDescent="0.2">
      <c r="A37" t="s">
        <v>779</v>
      </c>
      <c r="B37" s="240">
        <v>21975</v>
      </c>
      <c r="C37" s="240">
        <v>9902.69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21975</v>
      </c>
      <c r="C40" s="231">
        <f>SUM(C37:C39)</f>
        <v>9902.69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9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Allenstown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6280591.5</v>
      </c>
      <c r="D5" s="20">
        <f>SUM('DOE25'!L196:L199)+SUM('DOE25'!L214:L217)+SUM('DOE25'!L232:L235)-F5-G5</f>
        <v>6241866.4699999997</v>
      </c>
      <c r="E5" s="243"/>
      <c r="F5" s="255">
        <f>SUM('DOE25'!J196:J199)+SUM('DOE25'!J214:J217)+SUM('DOE25'!J232:J235)</f>
        <v>37210.03</v>
      </c>
      <c r="G5" s="53">
        <f>SUM('DOE25'!K196:K199)+SUM('DOE25'!K214:K217)+SUM('DOE25'!K232:K235)</f>
        <v>1515</v>
      </c>
      <c r="H5" s="259"/>
    </row>
    <row r="6" spans="1:9" x14ac:dyDescent="0.2">
      <c r="A6" s="32">
        <v>2100</v>
      </c>
      <c r="B6" t="s">
        <v>801</v>
      </c>
      <c r="C6" s="245">
        <f t="shared" si="0"/>
        <v>906585.3600000001</v>
      </c>
      <c r="D6" s="20">
        <f>'DOE25'!L201+'DOE25'!L219+'DOE25'!L237-F6-G6</f>
        <v>906415.37000000011</v>
      </c>
      <c r="E6" s="243"/>
      <c r="F6" s="255">
        <f>'DOE25'!J201+'DOE25'!J219+'DOE25'!J237</f>
        <v>169.99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119624.11</v>
      </c>
      <c r="D7" s="20">
        <f>'DOE25'!L202+'DOE25'!L220+'DOE25'!L238-F7-G7</f>
        <v>119554.11</v>
      </c>
      <c r="E7" s="243"/>
      <c r="F7" s="255">
        <f>'DOE25'!J202+'DOE25'!J220+'DOE25'!J238</f>
        <v>0</v>
      </c>
      <c r="G7" s="53">
        <f>'DOE25'!K202+'DOE25'!K220+'DOE25'!K238</f>
        <v>70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138934.69</v>
      </c>
      <c r="D8" s="243"/>
      <c r="E8" s="20">
        <f>'DOE25'!L203+'DOE25'!L221+'DOE25'!L239-F8-G8-D9-D11</f>
        <v>133168.21</v>
      </c>
      <c r="F8" s="255">
        <f>'DOE25'!J203+'DOE25'!J221+'DOE25'!J239</f>
        <v>0</v>
      </c>
      <c r="G8" s="53">
        <f>'DOE25'!K203+'DOE25'!K221+'DOE25'!K239</f>
        <v>5766.48</v>
      </c>
      <c r="H8" s="259"/>
    </row>
    <row r="9" spans="1:9" x14ac:dyDescent="0.2">
      <c r="A9" s="32">
        <v>2310</v>
      </c>
      <c r="B9" t="s">
        <v>818</v>
      </c>
      <c r="C9" s="245">
        <f t="shared" si="0"/>
        <v>9591.69</v>
      </c>
      <c r="D9" s="244">
        <v>9591.69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5514</v>
      </c>
      <c r="D10" s="243"/>
      <c r="E10" s="244">
        <v>5514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48548</v>
      </c>
      <c r="D11" s="244">
        <v>48548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424084.37</v>
      </c>
      <c r="D12" s="20">
        <f>'DOE25'!L204+'DOE25'!L222+'DOE25'!L240-F12-G12</f>
        <v>418302.57</v>
      </c>
      <c r="E12" s="243"/>
      <c r="F12" s="255">
        <f>'DOE25'!J204+'DOE25'!J222+'DOE25'!J240</f>
        <v>2198.04</v>
      </c>
      <c r="G12" s="53">
        <f>'DOE25'!K204+'DOE25'!K222+'DOE25'!K240</f>
        <v>3583.76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426099.67</v>
      </c>
      <c r="D14" s="20">
        <f>'DOE25'!L206+'DOE25'!L224+'DOE25'!L242-F14-G14</f>
        <v>392061.8</v>
      </c>
      <c r="E14" s="243"/>
      <c r="F14" s="255">
        <f>'DOE25'!J206+'DOE25'!J224+'DOE25'!J242</f>
        <v>34037.870000000003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390201.73</v>
      </c>
      <c r="D15" s="20">
        <f>'DOE25'!L207+'DOE25'!L225+'DOE25'!L243-F15-G15</f>
        <v>390201.73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95373.650000000038</v>
      </c>
      <c r="D29" s="20">
        <f>'DOE25'!L357+'DOE25'!L358+'DOE25'!L359-'DOE25'!I366-F29-G29</f>
        <v>94986.420000000042</v>
      </c>
      <c r="E29" s="243"/>
      <c r="F29" s="255">
        <f>'DOE25'!J357+'DOE25'!J358+'DOE25'!J359</f>
        <v>138.97999999999999</v>
      </c>
      <c r="G29" s="53">
        <f>'DOE25'!K357+'DOE25'!K358+'DOE25'!K359</f>
        <v>248.25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237740.84</v>
      </c>
      <c r="D31" s="20">
        <f>'DOE25'!L289+'DOE25'!L308+'DOE25'!L327+'DOE25'!L332+'DOE25'!L333+'DOE25'!L334-F31-G31</f>
        <v>206637.22</v>
      </c>
      <c r="E31" s="243"/>
      <c r="F31" s="255">
        <f>'DOE25'!J289+'DOE25'!J308+'DOE25'!J327+'DOE25'!J332+'DOE25'!J333+'DOE25'!J334</f>
        <v>27569.84</v>
      </c>
      <c r="G31" s="53">
        <f>'DOE25'!K289+'DOE25'!K308+'DOE25'!K327+'DOE25'!K332+'DOE25'!K333+'DOE25'!K334</f>
        <v>3533.78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8828165.3800000008</v>
      </c>
      <c r="E33" s="246">
        <f>SUM(E5:E31)</f>
        <v>138682.21</v>
      </c>
      <c r="F33" s="246">
        <f>SUM(F5:F31)</f>
        <v>101324.74999999999</v>
      </c>
      <c r="G33" s="246">
        <f>SUM(G5:G31)</f>
        <v>14717.27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138682.21</v>
      </c>
      <c r="E35" s="249"/>
    </row>
    <row r="36" spans="2:8" ht="12" thickTop="1" x14ac:dyDescent="0.2">
      <c r="B36" t="s">
        <v>815</v>
      </c>
      <c r="D36" s="20">
        <f>D33</f>
        <v>8828165.3800000008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Allenstown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457480.38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109094.40000000001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52073.91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87550.89</v>
      </c>
      <c r="D12" s="95">
        <f>'DOE25'!G13</f>
        <v>18276.5</v>
      </c>
      <c r="E12" s="95">
        <f>'DOE25'!H13</f>
        <v>50585.33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3610.52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1159.29</v>
      </c>
      <c r="D16" s="95">
        <f>'DOE25'!G17</f>
        <v>7.49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598264.47000000009</v>
      </c>
      <c r="D18" s="41">
        <f>SUM(D8:D17)</f>
        <v>21894.510000000002</v>
      </c>
      <c r="E18" s="41">
        <f>SUM(E8:E17)</f>
        <v>50585.33</v>
      </c>
      <c r="F18" s="41">
        <f>SUM(F8:F17)</f>
        <v>0</v>
      </c>
      <c r="G18" s="41">
        <f>SUM(G8:G17)</f>
        <v>109094.40000000001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 t="str">
        <f>'DOE25'!F22</f>
        <v xml:space="preserve"> </v>
      </c>
      <c r="D21" s="95">
        <f>'DOE25'!G22</f>
        <v>10669.11</v>
      </c>
      <c r="E21" s="95">
        <f>'DOE25'!H22</f>
        <v>41404.800000000003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309458.86</v>
      </c>
      <c r="D22" s="95">
        <f>'DOE25'!G23</f>
        <v>1225.4000000000001</v>
      </c>
      <c r="E22" s="95">
        <f>'DOE25'!H23</f>
        <v>9180.5300000000007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10934.18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88500.42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408893.45999999996</v>
      </c>
      <c r="D31" s="41">
        <f>SUM(D21:D30)</f>
        <v>11894.51</v>
      </c>
      <c r="E31" s="41">
        <f>SUM(E21:E30)</f>
        <v>50585.33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10000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109094.40000000001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189371.01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189371.01</v>
      </c>
      <c r="D49" s="41">
        <f>SUM(D34:D48)</f>
        <v>10000</v>
      </c>
      <c r="E49" s="41">
        <f>SUM(E34:E48)</f>
        <v>0</v>
      </c>
      <c r="F49" s="41">
        <f>SUM(F34:F48)</f>
        <v>0</v>
      </c>
      <c r="G49" s="41">
        <f>SUM(G34:G48)</f>
        <v>109094.40000000001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598264.47</v>
      </c>
      <c r="D50" s="41">
        <f>D49+D31</f>
        <v>21894.510000000002</v>
      </c>
      <c r="E50" s="41">
        <f>E49+E31</f>
        <v>50585.33</v>
      </c>
      <c r="F50" s="41">
        <f>F49+F31</f>
        <v>0</v>
      </c>
      <c r="G50" s="41">
        <f>G49+G31</f>
        <v>109094.40000000001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2682072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31330.7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1792.51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59893.55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11547.85</v>
      </c>
      <c r="D60" s="95">
        <f>SUM('DOE25'!G97:G109)</f>
        <v>57.15</v>
      </c>
      <c r="E60" s="95">
        <f>SUM('DOE25'!H97:H109)</f>
        <v>0</v>
      </c>
      <c r="F60" s="95">
        <f>SUM('DOE25'!I97:I109)</f>
        <v>0</v>
      </c>
      <c r="G60" s="95">
        <f>SUM('DOE25'!J97:J109)</f>
        <v>-8345.25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42878.55</v>
      </c>
      <c r="D61" s="130">
        <f>SUM(D56:D60)</f>
        <v>59950.700000000004</v>
      </c>
      <c r="E61" s="130">
        <f>SUM(E56:E60)</f>
        <v>0</v>
      </c>
      <c r="F61" s="130">
        <f>SUM(F56:F60)</f>
        <v>0</v>
      </c>
      <c r="G61" s="130">
        <f>SUM(G56:G60)</f>
        <v>-6552.74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2724950.55</v>
      </c>
      <c r="D62" s="22">
        <f>D55+D61</f>
        <v>59950.700000000004</v>
      </c>
      <c r="E62" s="22">
        <f>E55+E61</f>
        <v>0</v>
      </c>
      <c r="F62" s="22">
        <f>F55+F61</f>
        <v>0</v>
      </c>
      <c r="G62" s="22">
        <f>G55+G61</f>
        <v>-6552.74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4397035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621657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5018692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124462.57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2144.52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124462.57</v>
      </c>
      <c r="D77" s="130">
        <f>SUM(D71:D76)</f>
        <v>2144.52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5143154.57</v>
      </c>
      <c r="D80" s="130">
        <f>SUM(D78:D79)+D77+D69</f>
        <v>2144.52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134242.75</v>
      </c>
      <c r="D87" s="95">
        <f>SUM('DOE25'!G152:G160)</f>
        <v>110767.53</v>
      </c>
      <c r="E87" s="95">
        <f>SUM('DOE25'!H152:H160)</f>
        <v>237740.84000000003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134242.75</v>
      </c>
      <c r="D90" s="131">
        <f>SUM(D84:D89)</f>
        <v>110767.53</v>
      </c>
      <c r="E90" s="131">
        <f>SUM(E84:E89)</f>
        <v>237740.84000000003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15550.07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15550.07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8002347.8700000001</v>
      </c>
      <c r="D103" s="86">
        <f>D62+D80+D90+D102</f>
        <v>188412.82</v>
      </c>
      <c r="E103" s="86">
        <f>E62+E80+E90+E102</f>
        <v>237740.84000000003</v>
      </c>
      <c r="F103" s="86">
        <f>F62+F80+F90+F102</f>
        <v>0</v>
      </c>
      <c r="G103" s="86">
        <f>G62+G80+G102</f>
        <v>-6552.74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4234271.55</v>
      </c>
      <c r="D108" s="24" t="s">
        <v>289</v>
      </c>
      <c r="E108" s="95">
        <f>('DOE25'!L275)+('DOE25'!L294)+('DOE25'!L313)</f>
        <v>151226.64000000001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2007931.38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38388.57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6280591.5</v>
      </c>
      <c r="D114" s="86">
        <f>SUM(D108:D113)</f>
        <v>0</v>
      </c>
      <c r="E114" s="86">
        <f>SUM(E108:E113)</f>
        <v>151226.64000000001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906585.3600000001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119624.11</v>
      </c>
      <c r="D118" s="24" t="s">
        <v>289</v>
      </c>
      <c r="E118" s="95">
        <f>+('DOE25'!L281)+('DOE25'!L300)+('DOE25'!L319)</f>
        <v>82980.42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197074.38</v>
      </c>
      <c r="D119" s="24" t="s">
        <v>289</v>
      </c>
      <c r="E119" s="95">
        <f>+('DOE25'!L282)+('DOE25'!L301)+('DOE25'!L320)</f>
        <v>3533.78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424084.37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426099.67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390201.73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188412.82000000004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2463669.62</v>
      </c>
      <c r="D127" s="86">
        <f>SUM(D117:D126)</f>
        <v>188412.82000000004</v>
      </c>
      <c r="E127" s="86">
        <f>SUM(E117:E126)</f>
        <v>86514.2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15550.07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1394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-7946.7400000000007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6552.7400000000007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49846.98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65397.05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8809658.1700000018</v>
      </c>
      <c r="D144" s="86">
        <f>(D114+D127+D143)</f>
        <v>188412.82000000004</v>
      </c>
      <c r="E144" s="86">
        <f>(E114+E127+E143)</f>
        <v>237740.84000000003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Allenstown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15051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15051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4385498</v>
      </c>
      <c r="D10" s="182">
        <f>ROUND((C10/$C$28)*100,1)</f>
        <v>47.9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2007931</v>
      </c>
      <c r="D11" s="182">
        <f>ROUND((C11/$C$28)*100,1)</f>
        <v>21.9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38389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906585</v>
      </c>
      <c r="D15" s="182">
        <f t="shared" ref="D15:D27" si="0">ROUND((C15/$C$28)*100,1)</f>
        <v>9.9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202605</v>
      </c>
      <c r="D16" s="182">
        <f t="shared" si="0"/>
        <v>2.2000000000000002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200608</v>
      </c>
      <c r="D17" s="182">
        <f t="shared" si="0"/>
        <v>2.2000000000000002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424084</v>
      </c>
      <c r="D18" s="182">
        <f t="shared" si="0"/>
        <v>4.5999999999999996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426100</v>
      </c>
      <c r="D20" s="182">
        <f t="shared" si="0"/>
        <v>4.7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390202</v>
      </c>
      <c r="D21" s="182">
        <f t="shared" si="0"/>
        <v>4.3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49846.98</v>
      </c>
      <c r="D26" s="182">
        <f t="shared" si="0"/>
        <v>0.5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128462.29999999999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9160311.2800000012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9160311.2800000012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2682072</v>
      </c>
      <c r="D35" s="182">
        <f t="shared" ref="D35:D40" si="1">ROUND((C35/$C$41)*100,1)</f>
        <v>32.1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36325.810000000056</v>
      </c>
      <c r="D36" s="182">
        <f t="shared" si="1"/>
        <v>0.4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5018692</v>
      </c>
      <c r="D37" s="182">
        <f t="shared" si="1"/>
        <v>60.1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126607</v>
      </c>
      <c r="D38" s="182">
        <f t="shared" si="1"/>
        <v>1.5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482751</v>
      </c>
      <c r="D39" s="182">
        <f t="shared" si="1"/>
        <v>5.8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8346447.8100000005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8" sqref="C8:M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Allenstown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3</v>
      </c>
      <c r="B4" s="219">
        <v>24</v>
      </c>
      <c r="C4" s="285" t="s">
        <v>910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16</v>
      </c>
      <c r="B5" s="219">
        <v>3</v>
      </c>
      <c r="C5" s="285" t="s">
        <v>911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16</v>
      </c>
      <c r="B6" s="219">
        <v>9</v>
      </c>
      <c r="C6" s="285" t="s">
        <v>910</v>
      </c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16</v>
      </c>
      <c r="B7" s="219">
        <v>10</v>
      </c>
      <c r="C7" s="285" t="s">
        <v>910</v>
      </c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>
        <v>16</v>
      </c>
      <c r="B8" s="219">
        <v>11</v>
      </c>
      <c r="C8" s="285" t="s">
        <v>911</v>
      </c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>
        <v>16</v>
      </c>
      <c r="B9" s="219">
        <v>12</v>
      </c>
      <c r="C9" s="285" t="s">
        <v>911</v>
      </c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2013-09-18T14:08:16Z</cp:lastPrinted>
  <dcterms:created xsi:type="dcterms:W3CDTF">1997-12-04T19:04:30Z</dcterms:created>
  <dcterms:modified xsi:type="dcterms:W3CDTF">2013-09-18T14:09:51Z</dcterms:modified>
</cp:coreProperties>
</file>