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9" i="12" l="1"/>
  <c r="B20" i="12"/>
  <c r="B21" i="12"/>
  <c r="H521" i="1" l="1"/>
  <c r="H306" i="1" l="1"/>
  <c r="B10" i="12" l="1"/>
  <c r="B12" i="12"/>
  <c r="B11" i="12"/>
  <c r="G611" i="1" l="1"/>
  <c r="G214" i="1"/>
  <c r="F472" i="1"/>
  <c r="G472" i="1" l="1"/>
  <c r="G468" i="1"/>
  <c r="F468" i="1"/>
  <c r="G521" i="1" l="1"/>
  <c r="G520" i="1"/>
  <c r="I221" i="1" l="1"/>
  <c r="I203" i="1"/>
  <c r="F49" i="1"/>
  <c r="G47" i="1"/>
  <c r="G23" i="1"/>
  <c r="F9" i="1"/>
  <c r="G458" i="1" l="1"/>
  <c r="G428" i="1"/>
  <c r="I402" i="1"/>
  <c r="I47" i="1" l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C121" i="2" s="1"/>
  <c r="L223" i="1"/>
  <c r="L241" i="1"/>
  <c r="F16" i="13"/>
  <c r="G16" i="13"/>
  <c r="L208" i="1"/>
  <c r="L226" i="1"/>
  <c r="C124" i="2" s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D6" i="13" s="1"/>
  <c r="C6" i="13" s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F661" i="1" s="1"/>
  <c r="L225" i="1"/>
  <c r="L243" i="1"/>
  <c r="H661" i="1" s="1"/>
  <c r="F17" i="13"/>
  <c r="G17" i="13"/>
  <c r="L250" i="1"/>
  <c r="F18" i="13"/>
  <c r="G18" i="13"/>
  <c r="L251" i="1"/>
  <c r="C113" i="2" s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E119" i="2" s="1"/>
  <c r="L283" i="1"/>
  <c r="L284" i="1"/>
  <c r="E121" i="2" s="1"/>
  <c r="L285" i="1"/>
  <c r="L286" i="1"/>
  <c r="E123" i="2" s="1"/>
  <c r="L287" i="1"/>
  <c r="L294" i="1"/>
  <c r="L295" i="1"/>
  <c r="L296" i="1"/>
  <c r="L297" i="1"/>
  <c r="L299" i="1"/>
  <c r="L300" i="1"/>
  <c r="L301" i="1"/>
  <c r="L302" i="1"/>
  <c r="L303" i="1"/>
  <c r="L304" i="1"/>
  <c r="L305" i="1"/>
  <c r="G661" i="1" s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E113" i="2" s="1"/>
  <c r="L333" i="1"/>
  <c r="L334" i="1"/>
  <c r="L259" i="1"/>
  <c r="C130" i="2" s="1"/>
  <c r="L260" i="1"/>
  <c r="C25" i="10" s="1"/>
  <c r="L340" i="1"/>
  <c r="L341" i="1"/>
  <c r="E131" i="2" s="1"/>
  <c r="L254" i="1"/>
  <c r="C129" i="2" s="1"/>
  <c r="L335" i="1"/>
  <c r="E129" i="2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F2" i="11"/>
  <c r="L612" i="1"/>
  <c r="H662" i="1" s="1"/>
  <c r="L611" i="1"/>
  <c r="G662" i="1" s="1"/>
  <c r="L610" i="1"/>
  <c r="F662" i="1" s="1"/>
  <c r="C40" i="10"/>
  <c r="F59" i="1"/>
  <c r="C35" i="10" s="1"/>
  <c r="G59" i="1"/>
  <c r="H59" i="1"/>
  <c r="I59" i="1"/>
  <c r="F55" i="2" s="1"/>
  <c r="F78" i="1"/>
  <c r="C56" i="2" s="1"/>
  <c r="F93" i="1"/>
  <c r="F110" i="1"/>
  <c r="G110" i="1"/>
  <c r="G111" i="1" s="1"/>
  <c r="H78" i="1"/>
  <c r="E56" i="2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H139" i="1" s="1"/>
  <c r="I120" i="1"/>
  <c r="I135" i="1"/>
  <c r="J120" i="1"/>
  <c r="J135" i="1"/>
  <c r="J139" i="1" s="1"/>
  <c r="F146" i="1"/>
  <c r="F161" i="1"/>
  <c r="G146" i="1"/>
  <c r="G161" i="1"/>
  <c r="H146" i="1"/>
  <c r="E84" i="2" s="1"/>
  <c r="H161" i="1"/>
  <c r="H168" i="1" s="1"/>
  <c r="I146" i="1"/>
  <c r="I161" i="1"/>
  <c r="I168" i="1" s="1"/>
  <c r="C13" i="10"/>
  <c r="L249" i="1"/>
  <c r="C112" i="2" s="1"/>
  <c r="L331" i="1"/>
  <c r="L253" i="1"/>
  <c r="L267" i="1"/>
  <c r="L268" i="1"/>
  <c r="C26" i="10" s="1"/>
  <c r="L348" i="1"/>
  <c r="E141" i="2" s="1"/>
  <c r="L349" i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L345" i="1"/>
  <c r="E136" i="2" s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0" i="2"/>
  <c r="K269" i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F84" i="2"/>
  <c r="F90" i="2" s="1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C111" i="2"/>
  <c r="E111" i="2"/>
  <c r="D114" i="2"/>
  <c r="F114" i="2"/>
  <c r="G114" i="2"/>
  <c r="E118" i="2"/>
  <c r="E120" i="2"/>
  <c r="E122" i="2"/>
  <c r="F127" i="2"/>
  <c r="G127" i="2"/>
  <c r="D133" i="2"/>
  <c r="D143" i="2" s="1"/>
  <c r="F133" i="2"/>
  <c r="K418" i="1"/>
  <c r="K426" i="1"/>
  <c r="K432" i="1"/>
  <c r="L262" i="1"/>
  <c r="C134" i="2" s="1"/>
  <c r="L263" i="1"/>
  <c r="C135" i="2" s="1"/>
  <c r="L264" i="1"/>
  <c r="C136" i="2" s="1"/>
  <c r="C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G618" i="1" s="1"/>
  <c r="I19" i="1"/>
  <c r="G619" i="1" s="1"/>
  <c r="F32" i="1"/>
  <c r="G32" i="1"/>
  <c r="H32" i="1"/>
  <c r="I32" i="1"/>
  <c r="F50" i="1"/>
  <c r="F51" i="1" s="1"/>
  <c r="H616" i="1" s="1"/>
  <c r="G50" i="1"/>
  <c r="G622" i="1" s="1"/>
  <c r="H50" i="1"/>
  <c r="G623" i="1" s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F451" i="1"/>
  <c r="G451" i="1"/>
  <c r="H451" i="1"/>
  <c r="F459" i="1"/>
  <c r="F460" i="1" s="1"/>
  <c r="H638" i="1" s="1"/>
  <c r="G459" i="1"/>
  <c r="H459" i="1"/>
  <c r="H460" i="1" s="1"/>
  <c r="H640" i="1" s="1"/>
  <c r="I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6" i="1"/>
  <c r="H635" i="1"/>
  <c r="G640" i="1"/>
  <c r="G642" i="1"/>
  <c r="H642" i="1"/>
  <c r="J642" i="1" s="1"/>
  <c r="G643" i="1"/>
  <c r="H643" i="1"/>
  <c r="G649" i="1"/>
  <c r="G650" i="1"/>
  <c r="G651" i="1"/>
  <c r="H651" i="1"/>
  <c r="G652" i="1"/>
  <c r="H652" i="1"/>
  <c r="G653" i="1"/>
  <c r="H653" i="1"/>
  <c r="H654" i="1"/>
  <c r="J654" i="1" s="1"/>
  <c r="E49" i="2"/>
  <c r="D19" i="13"/>
  <c r="C19" i="13" s="1"/>
  <c r="G36" i="2"/>
  <c r="K604" i="1" l="1"/>
  <c r="G647" i="1" s="1"/>
  <c r="K597" i="1"/>
  <c r="G646" i="1" s="1"/>
  <c r="H570" i="1"/>
  <c r="J570" i="1"/>
  <c r="F570" i="1"/>
  <c r="L543" i="1"/>
  <c r="E102" i="2"/>
  <c r="F102" i="2"/>
  <c r="C90" i="2"/>
  <c r="F77" i="2"/>
  <c r="F80" i="2" s="1"/>
  <c r="G80" i="2"/>
  <c r="C69" i="2"/>
  <c r="E110" i="2"/>
  <c r="D7" i="13"/>
  <c r="C7" i="13" s="1"/>
  <c r="C117" i="2"/>
  <c r="A40" i="12"/>
  <c r="C61" i="2"/>
  <c r="L327" i="1"/>
  <c r="L559" i="1"/>
  <c r="G102" i="2"/>
  <c r="C102" i="2"/>
  <c r="D61" i="2"/>
  <c r="D62" i="2" s="1"/>
  <c r="F18" i="2"/>
  <c r="I551" i="1"/>
  <c r="F551" i="1"/>
  <c r="E124" i="2"/>
  <c r="D17" i="13"/>
  <c r="C17" i="13" s="1"/>
  <c r="L246" i="1"/>
  <c r="H659" i="1" s="1"/>
  <c r="C31" i="2"/>
  <c r="F191" i="1"/>
  <c r="H551" i="1"/>
  <c r="G163" i="2"/>
  <c r="J640" i="1"/>
  <c r="C110" i="2"/>
  <c r="I570" i="1"/>
  <c r="L523" i="1"/>
  <c r="L255" i="1"/>
  <c r="K548" i="1"/>
  <c r="K570" i="1"/>
  <c r="K544" i="1"/>
  <c r="L432" i="1"/>
  <c r="C55" i="2"/>
  <c r="C62" i="2" s="1"/>
  <c r="D49" i="2"/>
  <c r="D31" i="2"/>
  <c r="E18" i="2"/>
  <c r="G551" i="1"/>
  <c r="F129" i="2"/>
  <c r="F143" i="2" s="1"/>
  <c r="F144" i="2" s="1"/>
  <c r="L289" i="1"/>
  <c r="E77" i="2"/>
  <c r="E80" i="2" s="1"/>
  <c r="E61" i="2"/>
  <c r="E62" i="2" s="1"/>
  <c r="F49" i="2"/>
  <c r="L569" i="1"/>
  <c r="L564" i="1"/>
  <c r="I544" i="1"/>
  <c r="H544" i="1"/>
  <c r="L418" i="1"/>
  <c r="G162" i="2"/>
  <c r="C18" i="2"/>
  <c r="J551" i="1"/>
  <c r="K549" i="1"/>
  <c r="L350" i="1"/>
  <c r="F168" i="1"/>
  <c r="L392" i="1"/>
  <c r="C137" i="2" s="1"/>
  <c r="D126" i="2"/>
  <c r="D127" i="2" s="1"/>
  <c r="E16" i="13"/>
  <c r="C16" i="13" s="1"/>
  <c r="F111" i="1"/>
  <c r="G644" i="1"/>
  <c r="J644" i="1" s="1"/>
  <c r="J638" i="1"/>
  <c r="H25" i="13"/>
  <c r="C25" i="13" s="1"/>
  <c r="E13" i="13"/>
  <c r="C13" i="13" s="1"/>
  <c r="J650" i="1"/>
  <c r="J643" i="1"/>
  <c r="G544" i="1"/>
  <c r="J544" i="1"/>
  <c r="G460" i="1"/>
  <c r="H639" i="1" s="1"/>
  <c r="J639" i="1" s="1"/>
  <c r="H191" i="1"/>
  <c r="G161" i="2"/>
  <c r="G159" i="2"/>
  <c r="G158" i="2"/>
  <c r="C142" i="2"/>
  <c r="C77" i="2"/>
  <c r="F61" i="2"/>
  <c r="F62" i="2" s="1"/>
  <c r="C49" i="2"/>
  <c r="C50" i="2" s="1"/>
  <c r="C23" i="10"/>
  <c r="L426" i="1"/>
  <c r="E8" i="13"/>
  <c r="C8" i="13" s="1"/>
  <c r="D18" i="2"/>
  <c r="L400" i="1"/>
  <c r="C138" i="2" s="1"/>
  <c r="L269" i="1"/>
  <c r="G160" i="2"/>
  <c r="G156" i="2"/>
  <c r="G157" i="2"/>
  <c r="J616" i="1"/>
  <c r="F22" i="13"/>
  <c r="C22" i="13" s="1"/>
  <c r="H111" i="1"/>
  <c r="D90" i="2"/>
  <c r="C131" i="2"/>
  <c r="C12" i="10"/>
  <c r="C122" i="2"/>
  <c r="D5" i="13"/>
  <c r="C5" i="13" s="1"/>
  <c r="K550" i="1"/>
  <c r="D18" i="13"/>
  <c r="C18" i="13" s="1"/>
  <c r="G648" i="1"/>
  <c r="J648" i="1" s="1"/>
  <c r="I451" i="1"/>
  <c r="E134" i="2"/>
  <c r="E143" i="2" s="1"/>
  <c r="E112" i="2"/>
  <c r="D80" i="2"/>
  <c r="C32" i="10"/>
  <c r="C21" i="10"/>
  <c r="A13" i="12"/>
  <c r="C16" i="10"/>
  <c r="D15" i="13"/>
  <c r="C15" i="13" s="1"/>
  <c r="L613" i="1"/>
  <c r="L528" i="1"/>
  <c r="F660" i="1"/>
  <c r="D29" i="13"/>
  <c r="C29" i="13" s="1"/>
  <c r="L533" i="1"/>
  <c r="K499" i="1"/>
  <c r="I459" i="1"/>
  <c r="I445" i="1"/>
  <c r="G641" i="1" s="1"/>
  <c r="C123" i="2"/>
  <c r="H646" i="1"/>
  <c r="L538" i="1"/>
  <c r="K502" i="1"/>
  <c r="L381" i="1"/>
  <c r="G635" i="1" s="1"/>
  <c r="J635" i="1" s="1"/>
  <c r="L336" i="1"/>
  <c r="C19" i="10"/>
  <c r="C80" i="2"/>
  <c r="I661" i="1"/>
  <c r="C120" i="2"/>
  <c r="C119" i="2"/>
  <c r="K337" i="1"/>
  <c r="K351" i="1" s="1"/>
  <c r="C118" i="2"/>
  <c r="L308" i="1"/>
  <c r="E117" i="2"/>
  <c r="E127" i="2" s="1"/>
  <c r="K256" i="1"/>
  <c r="K270" i="1" s="1"/>
  <c r="C109" i="2"/>
  <c r="J337" i="1"/>
  <c r="J351" i="1" s="1"/>
  <c r="H337" i="1"/>
  <c r="H351" i="1" s="1"/>
  <c r="G337" i="1"/>
  <c r="G351" i="1" s="1"/>
  <c r="E108" i="2"/>
  <c r="E114" i="2" s="1"/>
  <c r="C10" i="10"/>
  <c r="F337" i="1"/>
  <c r="F351" i="1" s="1"/>
  <c r="J256" i="1"/>
  <c r="J270" i="1" s="1"/>
  <c r="C108" i="2"/>
  <c r="C114" i="2" s="1"/>
  <c r="G256" i="1"/>
  <c r="G270" i="1" s="1"/>
  <c r="L228" i="1"/>
  <c r="G660" i="1"/>
  <c r="J633" i="1"/>
  <c r="L361" i="1"/>
  <c r="H660" i="1"/>
  <c r="D144" i="2"/>
  <c r="J646" i="1"/>
  <c r="D14" i="13"/>
  <c r="C14" i="13" s="1"/>
  <c r="C20" i="10"/>
  <c r="D12" i="13"/>
  <c r="C12" i="13" s="1"/>
  <c r="C18" i="10"/>
  <c r="C17" i="10"/>
  <c r="C15" i="10"/>
  <c r="L210" i="1"/>
  <c r="F659" i="1" s="1"/>
  <c r="C11" i="10"/>
  <c r="F256" i="1"/>
  <c r="F270" i="1" s="1"/>
  <c r="I256" i="1"/>
  <c r="I270" i="1" s="1"/>
  <c r="H256" i="1"/>
  <c r="H270" i="1" s="1"/>
  <c r="C29" i="10"/>
  <c r="G624" i="1"/>
  <c r="F31" i="2"/>
  <c r="E31" i="2"/>
  <c r="E50" i="2" s="1"/>
  <c r="H51" i="1"/>
  <c r="H618" i="1" s="1"/>
  <c r="J618" i="1" s="1"/>
  <c r="G51" i="1"/>
  <c r="H617" i="1" s="1"/>
  <c r="J617" i="1" s="1"/>
  <c r="G621" i="1"/>
  <c r="C24" i="10"/>
  <c r="G31" i="13"/>
  <c r="G33" i="13" s="1"/>
  <c r="I337" i="1"/>
  <c r="I351" i="1" s="1"/>
  <c r="J649" i="1"/>
  <c r="L406" i="1"/>
  <c r="C139" i="2" s="1"/>
  <c r="I191" i="1"/>
  <c r="E90" i="2"/>
  <c r="J653" i="1"/>
  <c r="J652" i="1"/>
  <c r="G21" i="2"/>
  <c r="G31" i="2" s="1"/>
  <c r="J32" i="1"/>
  <c r="J433" i="1"/>
  <c r="F433" i="1"/>
  <c r="K433" i="1"/>
  <c r="G133" i="2" s="1"/>
  <c r="G143" i="2" s="1"/>
  <c r="G144" i="2" s="1"/>
  <c r="F31" i="13"/>
  <c r="J192" i="1"/>
  <c r="F103" i="2"/>
  <c r="G168" i="1"/>
  <c r="G139" i="1"/>
  <c r="F139" i="1"/>
  <c r="F192" i="1" s="1"/>
  <c r="G62" i="2"/>
  <c r="G42" i="2"/>
  <c r="G49" i="2" s="1"/>
  <c r="J50" i="1"/>
  <c r="G16" i="2"/>
  <c r="G18" i="2" s="1"/>
  <c r="J19" i="1"/>
  <c r="G620" i="1" s="1"/>
  <c r="F544" i="1"/>
  <c r="H433" i="1"/>
  <c r="J619" i="1"/>
  <c r="D102" i="2"/>
  <c r="I139" i="1"/>
  <c r="A22" i="12"/>
  <c r="J651" i="1"/>
  <c r="G570" i="1"/>
  <c r="I433" i="1"/>
  <c r="G433" i="1"/>
  <c r="I662" i="1"/>
  <c r="H192" i="1" l="1"/>
  <c r="D50" i="2"/>
  <c r="L433" i="1"/>
  <c r="D103" i="2"/>
  <c r="L570" i="1"/>
  <c r="C36" i="10"/>
  <c r="G103" i="2"/>
  <c r="F50" i="2"/>
  <c r="I460" i="1"/>
  <c r="H641" i="1" s="1"/>
  <c r="K551" i="1"/>
  <c r="G637" i="1"/>
  <c r="J471" i="1"/>
  <c r="C127" i="2"/>
  <c r="C39" i="10"/>
  <c r="H33" i="13"/>
  <c r="G634" i="1"/>
  <c r="G471" i="1"/>
  <c r="L337" i="1"/>
  <c r="L351" i="1" s="1"/>
  <c r="G626" i="1"/>
  <c r="F467" i="1"/>
  <c r="C103" i="2"/>
  <c r="G645" i="1"/>
  <c r="J467" i="1"/>
  <c r="E103" i="2"/>
  <c r="G628" i="1"/>
  <c r="H467" i="1"/>
  <c r="J641" i="1"/>
  <c r="E33" i="13"/>
  <c r="D35" i="13" s="1"/>
  <c r="G50" i="2"/>
  <c r="L407" i="1"/>
  <c r="G636" i="1" s="1"/>
  <c r="C140" i="2"/>
  <c r="C143" i="2" s="1"/>
  <c r="C144" i="2" s="1"/>
  <c r="I660" i="1"/>
  <c r="F33" i="13"/>
  <c r="L544" i="1"/>
  <c r="I192" i="1"/>
  <c r="H647" i="1"/>
  <c r="J647" i="1" s="1"/>
  <c r="G659" i="1"/>
  <c r="G663" i="1" s="1"/>
  <c r="G671" i="1" s="1"/>
  <c r="C5" i="10" s="1"/>
  <c r="E144" i="2"/>
  <c r="C27" i="10"/>
  <c r="C28" i="10" s="1"/>
  <c r="D23" i="10" s="1"/>
  <c r="H663" i="1"/>
  <c r="H671" i="1" s="1"/>
  <c r="C6" i="10" s="1"/>
  <c r="D31" i="13"/>
  <c r="C31" i="13" s="1"/>
  <c r="F663" i="1"/>
  <c r="L256" i="1"/>
  <c r="L270" i="1" s="1"/>
  <c r="G630" i="1"/>
  <c r="G192" i="1"/>
  <c r="G625" i="1"/>
  <c r="J51" i="1"/>
  <c r="H620" i="1" s="1"/>
  <c r="J620" i="1" s="1"/>
  <c r="C38" i="10"/>
  <c r="H666" i="1" l="1"/>
  <c r="H630" i="1"/>
  <c r="J630" i="1" s="1"/>
  <c r="H636" i="1"/>
  <c r="J636" i="1" s="1"/>
  <c r="J469" i="1"/>
  <c r="G631" i="1"/>
  <c r="F471" i="1"/>
  <c r="H634" i="1"/>
  <c r="J634" i="1" s="1"/>
  <c r="G473" i="1"/>
  <c r="G629" i="1"/>
  <c r="I467" i="1"/>
  <c r="F469" i="1"/>
  <c r="H626" i="1"/>
  <c r="J626" i="1" s="1"/>
  <c r="J473" i="1"/>
  <c r="H637" i="1"/>
  <c r="H628" i="1"/>
  <c r="J628" i="1" s="1"/>
  <c r="H469" i="1"/>
  <c r="G632" i="1"/>
  <c r="H471" i="1"/>
  <c r="J637" i="1"/>
  <c r="G627" i="1"/>
  <c r="G467" i="1"/>
  <c r="H645" i="1"/>
  <c r="J645" i="1" s="1"/>
  <c r="I659" i="1"/>
  <c r="I663" i="1" s="1"/>
  <c r="I671" i="1" s="1"/>
  <c r="C7" i="10" s="1"/>
  <c r="G666" i="1"/>
  <c r="D33" i="13"/>
  <c r="D36" i="13" s="1"/>
  <c r="D22" i="10"/>
  <c r="D11" i="10"/>
  <c r="D20" i="10"/>
  <c r="D25" i="10"/>
  <c r="D13" i="10"/>
  <c r="D21" i="10"/>
  <c r="D15" i="10"/>
  <c r="D19" i="10"/>
  <c r="D27" i="10"/>
  <c r="D18" i="10"/>
  <c r="D17" i="10"/>
  <c r="D12" i="10"/>
  <c r="D24" i="10"/>
  <c r="D10" i="10"/>
  <c r="D26" i="10"/>
  <c r="C30" i="10"/>
  <c r="D16" i="10"/>
  <c r="F666" i="1"/>
  <c r="F671" i="1"/>
  <c r="C4" i="10" s="1"/>
  <c r="C41" i="10"/>
  <c r="D38" i="10" s="1"/>
  <c r="J475" i="1" l="1"/>
  <c r="H625" i="1" s="1"/>
  <c r="J625" i="1" s="1"/>
  <c r="H632" i="1"/>
  <c r="J632" i="1" s="1"/>
  <c r="H473" i="1"/>
  <c r="H475" i="1" s="1"/>
  <c r="H623" i="1" s="1"/>
  <c r="J623" i="1" s="1"/>
  <c r="I469" i="1"/>
  <c r="I475" i="1" s="1"/>
  <c r="H624" i="1" s="1"/>
  <c r="J624" i="1" s="1"/>
  <c r="H629" i="1"/>
  <c r="J629" i="1" s="1"/>
  <c r="F473" i="1"/>
  <c r="F475" i="1" s="1"/>
  <c r="H621" i="1" s="1"/>
  <c r="J621" i="1" s="1"/>
  <c r="H631" i="1"/>
  <c r="J631" i="1" s="1"/>
  <c r="G469" i="1"/>
  <c r="G475" i="1" s="1"/>
  <c r="H622" i="1" s="1"/>
  <c r="H627" i="1"/>
  <c r="J627" i="1" s="1"/>
  <c r="I666" i="1"/>
  <c r="D28" i="10"/>
  <c r="D37" i="10"/>
  <c r="D36" i="10"/>
  <c r="D35" i="10"/>
  <c r="D40" i="10"/>
  <c r="D39" i="10"/>
  <c r="J622" i="1" l="1"/>
  <c r="H655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<sst xmlns="http://schemas.openxmlformats.org/spreadsheetml/2006/main" count="3952" uniqueCount="916">
  <si>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</si>
  <si>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</si>
  <si>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</si>
  <si>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</si>
  <si>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</si>
  <si>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</si>
  <si>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</si>
  <si>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</si>
  <si>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</si>
  <si>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</si>
  <si>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</si>
  <si>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</si>
  <si>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</si>
  <si>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</si>
  <si>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</si>
  <si>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</si>
  <si>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</si>
  <si>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</si>
  <si>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</si>
  <si>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</si>
  <si>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</si>
  <si>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</si>
  <si>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</si>
  <si>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</si>
  <si>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</si>
  <si>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</si>
  <si>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</si>
  <si>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</si>
  <si>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</si>
  <si>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</si>
  <si>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</si>
  <si>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</si>
  <si>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</si>
  <si>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</si>
  <si>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</si>
  <si>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</si>
  <si>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</si>
  <si>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</si>
  <si>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</si>
  <si>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</si>
  <si>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</si>
  <si>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</si>
  <si>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</si>
  <si>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</si>
  <si>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</si>
  <si>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</si>
  <si>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</si>
  <si>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</si>
  <si>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</si>
  <si>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</si>
  <si>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</si>
  <si>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</si>
  <si>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</si>
  <si>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</si>
  <si>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</si>
  <si>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</si>
  <si>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</si>
  <si>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</si>
  <si>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</si>
  <si>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</si>
  <si>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</si>
  <si>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</si>
  <si>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</si>
  <si>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</si>
  <si>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</si>
  <si>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</si>
  <si>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</si>
  <si>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</si>
  <si>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</si>
  <si>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</si>
  <si>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</si>
  <si>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</si>
  <si>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</si>
  <si>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</si>
  <si>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</si>
  <si>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</si>
  <si>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</si>
  <si>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</si>
  <si>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</si>
  <si>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</si>
  <si>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</si>
  <si>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</si>
  <si>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</si>
  <si>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</si>
  <si>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</si>
  <si>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</si>
  <si>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</si>
  <si>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</si>
  <si>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</si>
  <si>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</si>
  <si>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</si>
  <si>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</si>
  <si>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</si>
  <si>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</si>
  <si>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</si>
  <si>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</si>
  <si>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</si>
  <si>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</si>
  <si>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</si>
  <si>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</si>
  <si>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</si>
  <si>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</si>
  <si>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</si>
  <si>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</si>
  <si>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</si>
  <si>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</si>
  <si>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</si>
  <si>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</si>
  <si>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</si>
  <si>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</si>
  <si>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</si>
  <si>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</si>
  <si>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</si>
  <si>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</si>
  <si>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</si>
  <si>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</si>
  <si>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</si>
  <si>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</si>
  <si>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</si>
  <si>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</si>
  <si>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</si>
  <si>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</si>
  <si>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</si>
  <si>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</si>
  <si>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</si>
  <si>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</si>
  <si>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</si>
  <si>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</si>
  <si>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</si>
  <si>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</si>
  <si>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</si>
  <si>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</si>
  <si>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</si>
  <si>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</si>
  <si>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</si>
  <si>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</si>
  <si>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</si>
  <si>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</si>
  <si>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</si>
  <si>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</si>
  <si>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</si>
  <si>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</si>
  <si>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</si>
  <si>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</si>
  <si>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</si>
  <si>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</si>
  <si>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</si>
  <si>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</si>
  <si>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</si>
  <si>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</si>
  <si>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</si>
  <si>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</si>
  <si>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</si>
  <si>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</si>
  <si>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</si>
  <si>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</si>
  <si>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</si>
  <si>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</si>
  <si>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</si>
  <si>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</si>
  <si>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</si>
  <si>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</si>
  <si>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</si>
  <si>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</si>
  <si>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</si>
  <si>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</si>
  <si>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</si>
  <si>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</si>
  <si>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</si>
  <si>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</si>
  <si>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</si>
  <si>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</si>
  <si>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</si>
  <si>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</si>
  <si>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</si>
  <si>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</si>
  <si>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</si>
  <si>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</si>
  <si>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</si>
  <si>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</si>
  <si>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</si>
  <si>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</si>
  <si>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</si>
  <si>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</si>
  <si>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</si>
  <si>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</si>
  <si>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</si>
  <si>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</si>
  <si>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</si>
  <si>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</si>
  <si>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</si>
  <si>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</si>
  <si>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</si>
  <si>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</si>
  <si>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</si>
  <si>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</si>
  <si>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</si>
  <si>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</si>
  <si>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</si>
  <si>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</si>
  <si>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</si>
  <si>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</si>
  <si>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</si>
  <si>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</si>
  <si>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</si>
  <si>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</si>
  <si>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</si>
  <si>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</si>
  <si>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</si>
  <si>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</si>
  <si>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</si>
  <si>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</si>
  <si>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</si>
  <si>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</si>
  <si>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</si>
  <si>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</si>
  <si>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</si>
  <si>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</si>
  <si>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</si>
  <si>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</si>
  <si>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</si>
  <si>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</si>
  <si>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</si>
  <si>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</si>
  <si>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</si>
  <si>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</si>
  <si>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</si>
  <si>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</si>
  <si>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</si>
  <si>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</si>
  <si>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</si>
  <si>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</si>
  <si>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</si>
  <si>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</si>
  <si>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</si>
  <si>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</si>
  <si>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</si>
  <si>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</si>
  <si>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</si>
  <si>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</si>
  <si>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</si>
  <si>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</si>
  <si>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</si>
  <si>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</si>
  <si>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</si>
  <si>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</si>
  <si>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</si>
  <si>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</si>
  <si>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</si>
  <si>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</si>
  <si>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</si>
  <si>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</si>
  <si>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</si>
  <si>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</si>
  <si>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</si>
  <si>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</si>
  <si>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</si>
  <si>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</si>
  <si>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</si>
  <si>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</si>
  <si>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</si>
  <si>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</si>
  <si>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</si>
  <si>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</si>
  <si>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</si>
  <si>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</si>
  <si>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</si>
  <si>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</si>
  <si>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</si>
  <si>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</si>
  <si>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</si>
  <si>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</si>
  <si>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</si>
  <si>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</si>
  <si>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</si>
  <si>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</si>
  <si>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</si>
  <si>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</si>
  <si>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</si>
  <si>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</si>
  <si>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</si>
  <si>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</si>
  <si>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</si>
  <si>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</si>
  <si>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</si>
  <si>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</si>
  <si>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</si>
  <si>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</si>
  <si>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</si>
  <si>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</si>
  <si>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</si>
  <si>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</si>
  <si>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</si>
  <si>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</si>
  <si>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</si>
  <si>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</si>
  <si>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</si>
  <si>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</si>
  <si>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</si>
  <si>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</si>
  <si>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</si>
  <si>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</si>
  <si>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</si>
  <si>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</si>
  <si>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</si>
  <si>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</si>
  <si>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</si>
  <si>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</si>
  <si>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</si>
  <si>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</si>
  <si>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</si>
  <si>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</si>
  <si>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</si>
  <si>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</si>
  <si>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</si>
  <si>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</si>
  <si>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</si>
  <si>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</si>
  <si>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</si>
  <si>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</si>
  <si>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</si>
  <si>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</si>
  <si>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</si>
  <si>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</si>
  <si>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</si>
  <si>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</si>
  <si>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</si>
  <si>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</si>
  <si>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</si>
  <si>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</si>
  <si>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</si>
  <si>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</si>
  <si>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</si>
  <si>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</si>
  <si>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</si>
  <si>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</si>
  <si>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</si>
  <si>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</si>
  <si>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</si>
  <si>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</si>
  <si>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</si>
  <si>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</si>
  <si>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</si>
  <si>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</si>
  <si>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</si>
  <si>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</si>
  <si>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</si>
  <si>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</si>
  <si>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</si>
  <si>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</si>
  <si>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</si>
  <si>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</si>
  <si>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</si>
  <si>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</si>
  <si>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</si>
  <si>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</si>
  <si>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</si>
  <si>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</si>
  <si>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</si>
  <si>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</si>
  <si>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</si>
  <si>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</si>
  <si>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</si>
  <si>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</si>
  <si>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</si>
  <si>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</si>
  <si>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</si>
  <si>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</si>
  <si>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</si>
  <si>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</si>
  <si>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</si>
  <si>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</si>
  <si>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</si>
  <si>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</si>
  <si>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</si>
  <si>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</si>
  <si>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</si>
  <si>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</si>
  <si>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</si>
  <si>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</si>
  <si>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</si>
  <si>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</si>
  <si>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</si>
  <si>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</si>
  <si>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</si>
  <si>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</si>
  <si>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</si>
  <si>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</si>
  <si>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</si>
  <si>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</si>
  <si>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</si>
  <si>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</si>
  <si>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</si>
  <si>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</si>
  <si>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</si>
  <si>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</si>
  <si>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</si>
  <si>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</si>
  <si>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</si>
  <si>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</si>
  <si>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</si>
  <si>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</si>
  <si>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</si>
  <si>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</si>
  <si>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</si>
  <si>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</si>
  <si>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</si>
  <si>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</si>
  <si>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</si>
  <si>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</si>
  <si>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</si>
  <si>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</si>
  <si>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</si>
  <si>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</si>
  <si>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</si>
  <si>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</si>
  <si>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</si>
  <si>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</si>
  <si>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</si>
  <si>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</si>
  <si>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</si>
  <si>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</si>
  <si>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</si>
  <si>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</si>
  <si>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</si>
  <si>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</si>
  <si>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</si>
  <si>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</si>
  <si>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</si>
  <si>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</si>
  <si>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</si>
  <si>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</si>
  <si>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</si>
  <si>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</si>
  <si>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</si>
  <si>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</si>
  <si>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</si>
  <si>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</si>
  <si>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</si>
  <si>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</si>
  <si>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</si>
  <si>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</si>
  <si>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</si>
  <si>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</si>
  <si>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</si>
  <si>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</si>
  <si>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</si>
  <si>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</si>
  <si>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</si>
  <si>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</si>
  <si>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</si>
  <si>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</si>
  <si>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</si>
  <si>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</si>
  <si>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</si>
  <si>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</si>
  <si>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</si>
  <si>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</si>
  <si>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</si>
  <si>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</si>
  <si>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</si>
  <si>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</si>
  <si>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</si>
  <si>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</si>
  <si>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</si>
  <si>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</si>
  <si>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</si>
  <si>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</si>
  <si>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</si>
  <si>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</si>
  <si>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</si>
  <si>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</si>
  <si>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</si>
  <si>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</si>
  <si>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</si>
  <si>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</si>
  <si>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</si>
  <si>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</si>
  <si>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</si>
  <si>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</si>
  <si>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</si>
  <si>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</si>
  <si>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</si>
  <si>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</si>
  <si>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</si>
  <si>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</si>
  <si>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</si>
  <si>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</si>
  <si>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</si>
  <si>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</si>
  <si>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</si>
  <si>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</si>
  <si>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</si>
  <si>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</si>
  <si>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</si>
  <si>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</si>
  <si>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</si>
  <si>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</si>
  <si>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</si>
  <si>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</si>
  <si>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</si>
  <si>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</si>
  <si>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</si>
  <si>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</si>
  <si>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</si>
  <si>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</si>
  <si>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</si>
  <si>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</si>
  <si>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</si>
  <si>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</si>
  <si>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</si>
  <si>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</si>
  <si>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</si>
  <si>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</si>
  <si>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</si>
  <si>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</si>
  <si>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</si>
  <si>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</si>
  <si>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</si>
  <si>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</si>
  <si>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</si>
  <si>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</si>
  <si>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</si>
  <si>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</si>
  <si>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</si>
  <si>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</si>
  <si>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</si>
  <si>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</si>
  <si>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</si>
  <si>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</si>
  <si>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</si>
  <si>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</si>
  <si>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</si>
  <si>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</si>
  <si>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</si>
  <si>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</si>
  <si>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</si>
  <si>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</si>
  <si>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</si>
  <si>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</si>
  <si>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</si>
  <si>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</si>
  <si>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</si>
  <si>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</si>
  <si>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</si>
  <si>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</si>
  <si>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</si>
  <si>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</si>
  <si>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</si>
  <si>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</si>
  <si>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</si>
  <si>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</si>
  <si>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</si>
  <si>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</si>
  <si>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</si>
  <si>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</si>
  <si>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</si>
  <si>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</si>
  <si>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</si>
  <si>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</si>
  <si>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</si>
  <si>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</si>
  <si>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</si>
  <si>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</si>
  <si>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</si>
  <si>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</si>
  <si>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</si>
  <si>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</si>
  <si>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</si>
  <si>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</si>
  <si>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</si>
  <si>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</si>
  <si>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</si>
  <si>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</si>
  <si>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</si>
  <si>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</si>
  <si>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</si>
  <si>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</si>
  <si>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</si>
  <si>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</si>
  <si>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</si>
  <si>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</si>
  <si>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</si>
  <si>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</si>
  <si>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</si>
  <si>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</si>
  <si>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</si>
  <si>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</si>
  <si>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</si>
  <si>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</si>
  <si>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</si>
  <si>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</si>
  <si>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</si>
  <si>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</si>
  <si>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</si>
  <si>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</si>
  <si>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</si>
  <si>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</si>
  <si>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</si>
  <si>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</si>
  <si>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</si>
  <si>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</si>
  <si>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</si>
  <si>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</si>
  <si>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</si>
  <si>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</si>
  <si>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</si>
  <si>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</si>
  <si>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</si>
  <si>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</si>
  <si>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</si>
  <si>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</si>
  <si>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</si>
  <si>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</si>
  <si>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</si>
  <si>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</si>
  <si>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</si>
  <si>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</si>
  <si>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</si>
  <si>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</si>
  <si>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</si>
  <si>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</si>
  <si>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</si>
  <si>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</si>
  <si>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</si>
  <si>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</si>
  <si>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</si>
  <si>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</si>
  <si>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</si>
  <si>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</si>
  <si>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</si>
  <si>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</si>
  <si>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</si>
  <si>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</si>
  <si>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</si>
  <si>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</si>
  <si>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</si>
  <si>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</si>
  <si>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</si>
  <si>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</si>
  <si>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</si>
  <si>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</si>
  <si>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</si>
  <si>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</si>
  <si>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</si>
  <si>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</si>
  <si>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</si>
  <si>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</si>
  <si>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</si>
  <si>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</si>
  <si>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</si>
  <si>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</si>
  <si>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</si>
  <si>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</si>
  <si>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</si>
  <si>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</si>
  <si>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</si>
  <si>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</si>
  <si>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</si>
  <si>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</si>
  <si>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</si>
  <si>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</si>
  <si>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</si>
  <si>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</si>
  <si>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</si>
  <si>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</si>
  <si>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</si>
  <si>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</si>
  <si>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</si>
  <si>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</si>
  <si>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</si>
  <si>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</si>
  <si>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</si>
  <si>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</si>
  <si>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</si>
  <si>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</si>
  <si>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</si>
  <si>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</si>
  <si>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</si>
  <si>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</si>
  <si>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</si>
  <si>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</si>
  <si>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</si>
  <si>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</si>
  <si>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</si>
  <si>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</si>
  <si>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</si>
  <si>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</si>
  <si>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</si>
  <si>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</si>
  <si>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</si>
  <si>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</si>
  <si>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</si>
  <si>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</si>
  <si>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</si>
  <si>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</si>
  <si>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</si>
  <si>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</si>
  <si>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</si>
  <si>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</si>
  <si>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</si>
  <si>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</si>
  <si>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</si>
  <si>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</si>
  <si>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</si>
  <si>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</si>
  <si>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</si>
  <si>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</si>
  <si>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</si>
  <si>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</si>
  <si>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</si>
  <si>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</si>
  <si>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</si>
  <si>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</si>
  <si>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</si>
  <si>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</si>
  <si>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</si>
  <si>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</si>
  <si>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</si>
  <si>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</si>
  <si>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</si>
  <si>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</si>
  <si>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</si>
  <si>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</si>
  <si>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</si>
  <si>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</si>
  <si>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</si>
  <si>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</si>
  <si>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</si>
  <si>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</si>
  <si>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</si>
  <si>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</si>
  <si>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</si>
  <si>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</si>
  <si>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</si>
  <si>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</si>
  <si>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</si>
  <si>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</si>
  <si>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</si>
  <si>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</si>
  <si>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</si>
  <si>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</si>
  <si>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</si>
  <si>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</si>
  <si>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</si>
  <si>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</si>
  <si>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</si>
  <si>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</si>
  <si>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</si>
  <si>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</si>
  <si>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</si>
  <si>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</si>
  <si>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</si>
  <si>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</si>
  <si>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</si>
  <si>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</si>
  <si>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</si>
  <si>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</si>
  <si>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</si>
  <si>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</si>
  <si>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</si>
  <si>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</si>
  <si>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</si>
  <si>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</si>
  <si>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</si>
  <si>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</si>
  <si>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</si>
  <si>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</si>
  <si>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</si>
  <si>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</si>
  <si>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</si>
  <si>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</si>
  <si>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</si>
  <si>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</si>
  <si>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</si>
  <si>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</si>
  <si>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</si>
  <si>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</si>
  <si>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</si>
  <si>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</si>
  <si>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</si>
  <si>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</si>
  <si>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</si>
  <si>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</si>
  <si>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</si>
  <si>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</si>
  <si>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</si>
  <si>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</si>
  <si>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</si>
  <si>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</si>
  <si>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</si>
  <si>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</si>
  <si>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</si>
  <si>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</si>
  <si>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</si>
  <si>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</si>
  <si>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</si>
  <si>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</si>
  <si>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</si>
  <si>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</si>
  <si>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</si>
  <si>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</si>
  <si>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</si>
  <si>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</si>
  <si>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</si>
  <si>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</si>
  <si>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</si>
  <si>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</si>
  <si>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</si>
  <si>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</si>
  <si>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</si>
  <si>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</si>
  <si>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</si>
  <si>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</si>
  <si>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</si>
  <si>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</si>
  <si>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</si>
  <si>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</si>
  <si>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</si>
  <si>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</si>
  <si>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</si>
  <si>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</si>
  <si>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</si>
  <si>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</si>
  <si>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</si>
  <si>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</si>
  <si>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</si>
  <si>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</si>
  <si>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</si>
  <si>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</si>
  <si>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</si>
  <si>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</si>
  <si>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</si>
  <si>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</si>
  <si>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</si>
  <si>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</si>
  <si>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</si>
  <si>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</si>
  <si>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</si>
  <si>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</si>
  <si>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</si>
  <si>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</si>
  <si>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</si>
  <si>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</si>
  <si>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</si>
  <si>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</si>
  <si>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</si>
  <si>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</si>
  <si>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</si>
  <si>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</si>
  <si>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</si>
  <si>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</si>
  <si>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</si>
  <si>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</si>
  <si>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</si>
  <si>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</si>
  <si>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</si>
  <si>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</si>
  <si>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</si>
  <si>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</si>
  <si>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</si>
  <si>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</si>
  <si>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</si>
  <si>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</si>
  <si>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</si>
  <si>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</si>
  <si>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</si>
  <si>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</si>
  <si>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</si>
  <si>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</si>
  <si>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</si>
  <si>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</si>
  <si>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</si>
  <si>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</si>
  <si>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</si>
  <si>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</si>
  <si>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</si>
  <si>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</si>
  <si>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</si>
  <si>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</si>
  <si>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</si>
  <si>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</si>
  <si>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</si>
  <si>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</si>
  <si>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</si>
  <si>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</si>
  <si>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</si>
  <si>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</si>
  <si>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</si>
  <si>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</si>
  <si>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</si>
  <si>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</si>
  <si>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</si>
  <si>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</si>
  <si>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</si>
  <si>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</si>
  <si>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</si>
  <si>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</si>
  <si>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</si>
  <si>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</si>
  <si>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</si>
  <si>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</si>
  <si>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</si>
  <si>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</si>
  <si>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</si>
  <si>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</si>
  <si>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</si>
  <si>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</si>
  <si>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</si>
  <si>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07/01</t>
  </si>
  <si>
    <t>07/21</t>
  </si>
  <si>
    <t>07/8</t>
  </si>
  <si>
    <t>08/28</t>
  </si>
  <si>
    <t>AGENCY FUNDS</t>
  </si>
  <si>
    <t>AMHERST SCHOOL DISTRICT</t>
  </si>
  <si>
    <t>PY Audit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</si>
</sst>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5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5" sqref="C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17</v>
      </c>
      <c r="C2" s="21">
        <v>17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-952108.96+183899.05</f>
        <v>-768209.90999999992</v>
      </c>
      <c r="G9" s="18">
        <v>0</v>
      </c>
      <c r="H9" s="18">
        <v>0</v>
      </c>
      <c r="I9" s="18">
        <v>30.92</v>
      </c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901823.41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155104.91</v>
      </c>
      <c r="G12" s="18">
        <v>11462.02</v>
      </c>
      <c r="H12" s="18">
        <v>0</v>
      </c>
      <c r="I12" s="18">
        <v>0</v>
      </c>
      <c r="J12" s="67">
        <f>SUM(I440)</f>
        <v>237.61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332288.94</v>
      </c>
      <c r="G13" s="18">
        <v>12616.32</v>
      </c>
      <c r="H13" s="18">
        <v>96764.26</v>
      </c>
      <c r="I13" s="18">
        <v>0</v>
      </c>
      <c r="J13" s="67">
        <f>SUM(I441)</f>
        <v>96591.2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8678.5499999999993</v>
      </c>
      <c r="G14" s="18">
        <v>363.11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18061.8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647747.70000000019</v>
      </c>
      <c r="G19" s="41">
        <f>SUM(G9:G18)</f>
        <v>24441.45</v>
      </c>
      <c r="H19" s="41">
        <f>SUM(H9:H18)</f>
        <v>96764.26</v>
      </c>
      <c r="I19" s="41">
        <f>SUM(I9:I18)</f>
        <v>30.92</v>
      </c>
      <c r="J19" s="41">
        <f>SUM(J9:J18)</f>
        <v>96828.81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87110.51</v>
      </c>
      <c r="I22" s="18">
        <v>0</v>
      </c>
      <c r="J22" s="67">
        <f>SUM(I447)</f>
        <v>79694.03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5122.05</v>
      </c>
      <c r="G23" s="18">
        <f>2874.11+14863.05</f>
        <v>17737.16</v>
      </c>
      <c r="H23" s="18">
        <v>1017.43</v>
      </c>
      <c r="I23" s="18">
        <v>0</v>
      </c>
      <c r="J23" s="67">
        <f>SUM(I448)</f>
        <v>237.61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143182.49</v>
      </c>
      <c r="G24" s="18">
        <v>45.52</v>
      </c>
      <c r="H24" s="18">
        <v>6933.83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7849.66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35889.620000000003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11222.8</v>
      </c>
      <c r="G30" s="18">
        <v>0</v>
      </c>
      <c r="H30" s="18">
        <v>1702.49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56.7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203323.31999999998</v>
      </c>
      <c r="G32" s="41">
        <f>SUM(G22:G31)</f>
        <v>17782.68</v>
      </c>
      <c r="H32" s="41">
        <f>SUM(H22:H31)</f>
        <v>96764.26</v>
      </c>
      <c r="I32" s="41">
        <f>SUM(I22:I31)</f>
        <v>0</v>
      </c>
      <c r="J32" s="41">
        <f>SUM(J22:J31)</f>
        <v>79931.64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46046.85</v>
      </c>
      <c r="G47" s="18">
        <f>63122.39-56463.62</f>
        <v>6658.7699999999968</v>
      </c>
      <c r="H47" s="18">
        <v>0</v>
      </c>
      <c r="I47" s="18">
        <f>30.89+0.03</f>
        <v>30.92</v>
      </c>
      <c r="J47" s="13">
        <f>SUM(I458)</f>
        <v>16897.170000000002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12224.99+386152.54</f>
        <v>398377.52999999997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444424.37999999995</v>
      </c>
      <c r="G50" s="41">
        <f>SUM(G35:G49)</f>
        <v>6658.7699999999968</v>
      </c>
      <c r="H50" s="41">
        <f>SUM(H35:H49)</f>
        <v>0</v>
      </c>
      <c r="I50" s="41">
        <f>SUM(I35:I49)</f>
        <v>30.92</v>
      </c>
      <c r="J50" s="41">
        <f>SUM(J35:J49)</f>
        <v>16897.170000000002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647747.69999999995</v>
      </c>
      <c r="G51" s="41">
        <f>G50+G32</f>
        <v>24441.449999999997</v>
      </c>
      <c r="H51" s="41">
        <f>H50+H32</f>
        <v>96764.26</v>
      </c>
      <c r="I51" s="41">
        <f>I50+I32</f>
        <v>30.92</v>
      </c>
      <c r="J51" s="41">
        <f>J50+J32</f>
        <v>96828.81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16284407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16284407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49319.6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810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1008264.5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1058394.1000000001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5184.66</v>
      </c>
      <c r="G95" s="18"/>
      <c r="H95" s="18"/>
      <c r="I95" s="18">
        <v>0.03</v>
      </c>
      <c r="J95" s="18">
        <v>63.48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339594.68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17525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4062</v>
      </c>
      <c r="G100" s="18">
        <v>501.99</v>
      </c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1467.71</v>
      </c>
      <c r="G101" s="18"/>
      <c r="H101" s="18">
        <v>20695.62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300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148962.99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10422.25</v>
      </c>
      <c r="G108" s="18">
        <v>0</v>
      </c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31</v>
      </c>
      <c r="G109" s="18">
        <v>1012.07</v>
      </c>
      <c r="H109" s="18"/>
      <c r="I109" s="18"/>
      <c r="J109" s="18">
        <v>6122.06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187955.61</v>
      </c>
      <c r="G110" s="41">
        <f>SUM(G95:G109)</f>
        <v>341108.74</v>
      </c>
      <c r="H110" s="41">
        <f>SUM(H95:H109)</f>
        <v>20695.62</v>
      </c>
      <c r="I110" s="41">
        <f>SUM(I95:I109)</f>
        <v>0.03</v>
      </c>
      <c r="J110" s="41">
        <f>SUM(J95:J109)</f>
        <v>6185.54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17530756.710000001</v>
      </c>
      <c r="G111" s="41">
        <f>G59+G110</f>
        <v>341108.74</v>
      </c>
      <c r="H111" s="41">
        <f>H59+H78+H93+H110</f>
        <v>20695.62</v>
      </c>
      <c r="I111" s="41">
        <f>I59+I110</f>
        <v>0.03</v>
      </c>
      <c r="J111" s="41">
        <f>J59+J110</f>
        <v>6185.54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2702667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2601693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5304360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139400.97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284432.23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3811.53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423833.19999999995</v>
      </c>
      <c r="G135" s="41">
        <f>SUM(G122:G134)</f>
        <v>3811.53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5728193.2000000002</v>
      </c>
      <c r="G139" s="41">
        <f>G120+SUM(G135:G136)</f>
        <v>3811.53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43443.58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35492.61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72315.89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276218.71999999997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139754.92000000001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139754.92000000001</v>
      </c>
      <c r="G161" s="41">
        <f>SUM(G149:G160)</f>
        <v>72315.89</v>
      </c>
      <c r="H161" s="41">
        <f>SUM(H149:H160)</f>
        <v>355154.91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139754.92000000001</v>
      </c>
      <c r="G168" s="41">
        <f>G146+G161+SUM(G162:G167)</f>
        <v>72315.89</v>
      </c>
      <c r="H168" s="41">
        <f>H146+H161+SUM(H162:H167)</f>
        <v>355154.91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0</v>
      </c>
      <c r="H178" s="18"/>
      <c r="I178" s="18">
        <v>0</v>
      </c>
      <c r="J178" s="18">
        <v>80000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80000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80000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23398704.830000002</v>
      </c>
      <c r="G192" s="47">
        <f>G111+G139+G168+G191</f>
        <v>417236.16000000003</v>
      </c>
      <c r="H192" s="47">
        <f>H111+H139+H168+H191</f>
        <v>375850.52999999997</v>
      </c>
      <c r="I192" s="47">
        <f>I111+I139+I168+I191</f>
        <v>0.03</v>
      </c>
      <c r="J192" s="47">
        <f>J111+J139+J191</f>
        <v>86185.54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3258952.34</v>
      </c>
      <c r="G196" s="18">
        <v>1508564.93</v>
      </c>
      <c r="H196" s="18">
        <v>12789.1</v>
      </c>
      <c r="I196" s="18">
        <v>119481.71</v>
      </c>
      <c r="J196" s="18">
        <v>30419.48</v>
      </c>
      <c r="K196" s="18">
        <v>0</v>
      </c>
      <c r="L196" s="19">
        <f>SUM(F196:K196)</f>
        <v>4930207.5599999996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1249695.73</v>
      </c>
      <c r="G197" s="18">
        <v>679559.97</v>
      </c>
      <c r="H197" s="18">
        <v>439933.52</v>
      </c>
      <c r="I197" s="18">
        <v>9931.34</v>
      </c>
      <c r="J197" s="18">
        <v>2184.58</v>
      </c>
      <c r="K197" s="18">
        <v>0</v>
      </c>
      <c r="L197" s="19">
        <f>SUM(F197:K197)</f>
        <v>2381305.1399999997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700</v>
      </c>
      <c r="G199" s="18">
        <v>133.69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833.69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365694.65</v>
      </c>
      <c r="G201" s="18">
        <v>161449.51</v>
      </c>
      <c r="H201" s="18">
        <v>5733.94</v>
      </c>
      <c r="I201" s="18">
        <v>2702.41</v>
      </c>
      <c r="J201" s="18">
        <v>0</v>
      </c>
      <c r="K201" s="18">
        <v>0</v>
      </c>
      <c r="L201" s="19">
        <f t="shared" ref="L201:L207" si="0">SUM(F201:K201)</f>
        <v>535580.51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111520</v>
      </c>
      <c r="G202" s="18">
        <v>71979.710000000006</v>
      </c>
      <c r="H202" s="18">
        <v>2398.94</v>
      </c>
      <c r="I202" s="18">
        <v>12985.94</v>
      </c>
      <c r="J202" s="18">
        <v>1249.5899999999999</v>
      </c>
      <c r="K202" s="18">
        <v>0</v>
      </c>
      <c r="L202" s="19">
        <f t="shared" si="0"/>
        <v>200134.18000000002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4165.42</v>
      </c>
      <c r="G203" s="18">
        <v>320.45</v>
      </c>
      <c r="H203" s="18">
        <v>587869.55000000005</v>
      </c>
      <c r="I203" s="18">
        <f>47.49/2</f>
        <v>23.745000000000001</v>
      </c>
      <c r="J203" s="18">
        <v>0</v>
      </c>
      <c r="K203" s="18">
        <v>2701.35</v>
      </c>
      <c r="L203" s="19">
        <f t="shared" si="0"/>
        <v>595080.51500000001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384630.64</v>
      </c>
      <c r="G204" s="18">
        <v>202083.56</v>
      </c>
      <c r="H204" s="18">
        <v>15507.88</v>
      </c>
      <c r="I204" s="18">
        <v>9506.74</v>
      </c>
      <c r="J204" s="18">
        <v>1323.98</v>
      </c>
      <c r="K204" s="18">
        <v>1250</v>
      </c>
      <c r="L204" s="19">
        <f t="shared" si="0"/>
        <v>614302.79999999993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140</v>
      </c>
      <c r="I205" s="18">
        <v>0</v>
      </c>
      <c r="J205" s="18">
        <v>0</v>
      </c>
      <c r="K205" s="18">
        <v>0</v>
      </c>
      <c r="L205" s="19">
        <f t="shared" si="0"/>
        <v>140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220813.4</v>
      </c>
      <c r="G206" s="18">
        <v>122888.49</v>
      </c>
      <c r="H206" s="18">
        <v>140638</v>
      </c>
      <c r="I206" s="18">
        <v>168596.85</v>
      </c>
      <c r="J206" s="18">
        <v>6945.56</v>
      </c>
      <c r="K206" s="18">
        <v>0</v>
      </c>
      <c r="L206" s="19">
        <f t="shared" si="0"/>
        <v>659882.30000000005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441106.8</v>
      </c>
      <c r="I207" s="18">
        <v>0</v>
      </c>
      <c r="J207" s="18">
        <v>0</v>
      </c>
      <c r="K207" s="18">
        <v>0</v>
      </c>
      <c r="L207" s="19">
        <f t="shared" si="0"/>
        <v>441106.8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59636.38</v>
      </c>
      <c r="G208" s="18">
        <v>33655.800000000003</v>
      </c>
      <c r="H208" s="18">
        <v>18155.419999999998</v>
      </c>
      <c r="I208" s="18">
        <v>11003.93</v>
      </c>
      <c r="J208" s="18">
        <v>8205.01</v>
      </c>
      <c r="K208" s="18">
        <v>0</v>
      </c>
      <c r="L208" s="19">
        <f>SUM(F208:K208)</f>
        <v>130656.54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5655808.5600000005</v>
      </c>
      <c r="G210" s="41">
        <f t="shared" si="1"/>
        <v>2780636.11</v>
      </c>
      <c r="H210" s="41">
        <f t="shared" si="1"/>
        <v>1664273.15</v>
      </c>
      <c r="I210" s="41">
        <f t="shared" si="1"/>
        <v>334232.66499999998</v>
      </c>
      <c r="J210" s="41">
        <f t="shared" si="1"/>
        <v>50328.2</v>
      </c>
      <c r="K210" s="41">
        <f t="shared" si="1"/>
        <v>3951.35</v>
      </c>
      <c r="L210" s="41">
        <f t="shared" si="1"/>
        <v>10489230.035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4208022.9800000004</v>
      </c>
      <c r="G214" s="18">
        <f>1905314.24-17</f>
        <v>1905297.24</v>
      </c>
      <c r="H214" s="18">
        <v>25925.45</v>
      </c>
      <c r="I214" s="18">
        <v>148947.67000000001</v>
      </c>
      <c r="J214" s="18">
        <v>105824.7</v>
      </c>
      <c r="K214" s="18">
        <v>0</v>
      </c>
      <c r="L214" s="19">
        <f>SUM(F214:K214)</f>
        <v>6394018.040000001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1509127.4</v>
      </c>
      <c r="G215" s="18">
        <v>900489.61</v>
      </c>
      <c r="H215" s="18">
        <v>142931.93</v>
      </c>
      <c r="I215" s="18">
        <v>6176.57</v>
      </c>
      <c r="J215" s="18">
        <v>3441.31</v>
      </c>
      <c r="K215" s="18">
        <v>0</v>
      </c>
      <c r="L215" s="19">
        <f>SUM(F215:K215)</f>
        <v>2562166.8199999998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65964</v>
      </c>
      <c r="G217" s="18">
        <v>10258.73</v>
      </c>
      <c r="H217" s="18">
        <v>6387.65</v>
      </c>
      <c r="I217" s="18">
        <v>5642.85</v>
      </c>
      <c r="J217" s="18">
        <v>0</v>
      </c>
      <c r="K217" s="18">
        <v>430</v>
      </c>
      <c r="L217" s="19">
        <f>SUM(F217:K217)</f>
        <v>88683.23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314547.23</v>
      </c>
      <c r="G219" s="18">
        <v>145452.03</v>
      </c>
      <c r="H219" s="18">
        <v>57827.87</v>
      </c>
      <c r="I219" s="18">
        <v>1371.38</v>
      </c>
      <c r="J219" s="18">
        <v>0</v>
      </c>
      <c r="K219" s="18">
        <v>0</v>
      </c>
      <c r="L219" s="19">
        <f t="shared" ref="L219:L225" si="2">SUM(F219:K219)</f>
        <v>519198.51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100519.4</v>
      </c>
      <c r="G220" s="18">
        <v>113101.37</v>
      </c>
      <c r="H220" s="18">
        <v>7838.95</v>
      </c>
      <c r="I220" s="18">
        <v>10394.620000000001</v>
      </c>
      <c r="J220" s="18">
        <v>0</v>
      </c>
      <c r="K220" s="18">
        <v>0</v>
      </c>
      <c r="L220" s="19">
        <f t="shared" si="2"/>
        <v>231854.34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4165.42</v>
      </c>
      <c r="G221" s="18">
        <v>320.45999999999998</v>
      </c>
      <c r="H221" s="18">
        <v>587869.56000000006</v>
      </c>
      <c r="I221" s="18">
        <f>47.49/2</f>
        <v>23.745000000000001</v>
      </c>
      <c r="J221" s="18">
        <v>0</v>
      </c>
      <c r="K221" s="18">
        <v>2701.34</v>
      </c>
      <c r="L221" s="19">
        <f t="shared" si="2"/>
        <v>595080.52500000002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359660.64</v>
      </c>
      <c r="G222" s="18">
        <v>169380.2</v>
      </c>
      <c r="H222" s="18">
        <v>21248.98</v>
      </c>
      <c r="I222" s="18">
        <v>23685.71</v>
      </c>
      <c r="J222" s="18">
        <v>17821</v>
      </c>
      <c r="K222" s="18">
        <v>2530</v>
      </c>
      <c r="L222" s="19">
        <f t="shared" si="2"/>
        <v>594326.53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365</v>
      </c>
      <c r="I223" s="18">
        <v>0</v>
      </c>
      <c r="J223" s="18">
        <v>0</v>
      </c>
      <c r="K223" s="18">
        <v>0</v>
      </c>
      <c r="L223" s="19">
        <f t="shared" si="2"/>
        <v>365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221933.81</v>
      </c>
      <c r="G224" s="18">
        <v>125579.86</v>
      </c>
      <c r="H224" s="18">
        <v>146735.14000000001</v>
      </c>
      <c r="I224" s="18">
        <v>185459.51</v>
      </c>
      <c r="J224" s="18">
        <v>17265</v>
      </c>
      <c r="K224" s="18">
        <v>51.5</v>
      </c>
      <c r="L224" s="19">
        <f t="shared" si="2"/>
        <v>697024.82000000007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229356.02</v>
      </c>
      <c r="I225" s="18">
        <v>0</v>
      </c>
      <c r="J225" s="18">
        <v>0</v>
      </c>
      <c r="K225" s="18">
        <v>0</v>
      </c>
      <c r="L225" s="19">
        <f t="shared" si="2"/>
        <v>229356.02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115558.63</v>
      </c>
      <c r="G226" s="18">
        <v>48225.51</v>
      </c>
      <c r="H226" s="18">
        <v>20391.61</v>
      </c>
      <c r="I226" s="18">
        <v>11962.24</v>
      </c>
      <c r="J226" s="18">
        <v>1300</v>
      </c>
      <c r="K226" s="18">
        <v>0</v>
      </c>
      <c r="L226" s="19">
        <f>SUM(F226:K226)</f>
        <v>197437.99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6899499.5100000007</v>
      </c>
      <c r="G228" s="41">
        <f>SUM(G214:G227)</f>
        <v>3418105.01</v>
      </c>
      <c r="H228" s="41">
        <f>SUM(H214:H227)</f>
        <v>1246878.1600000001</v>
      </c>
      <c r="I228" s="41">
        <f>SUM(I214:I227)</f>
        <v>393664.29500000004</v>
      </c>
      <c r="J228" s="41">
        <f>SUM(J214:J227)</f>
        <v>145652.01</v>
      </c>
      <c r="K228" s="41">
        <f t="shared" si="3"/>
        <v>5712.84</v>
      </c>
      <c r="L228" s="41">
        <f t="shared" si="3"/>
        <v>12109511.825000001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14642</v>
      </c>
      <c r="K254" s="18">
        <v>0</v>
      </c>
      <c r="L254" s="19">
        <f t="shared" si="6"/>
        <v>14642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14642</v>
      </c>
      <c r="K255" s="41">
        <f t="shared" si="7"/>
        <v>0</v>
      </c>
      <c r="L255" s="41">
        <f>SUM(F255:K255)</f>
        <v>14642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12555308.07</v>
      </c>
      <c r="G256" s="41">
        <f t="shared" si="8"/>
        <v>6198741.1199999992</v>
      </c>
      <c r="H256" s="41">
        <f t="shared" si="8"/>
        <v>2911151.31</v>
      </c>
      <c r="I256" s="41">
        <f t="shared" si="8"/>
        <v>727896.96</v>
      </c>
      <c r="J256" s="41">
        <f t="shared" si="8"/>
        <v>210622.21000000002</v>
      </c>
      <c r="K256" s="41">
        <f t="shared" si="8"/>
        <v>9664.19</v>
      </c>
      <c r="L256" s="41">
        <f t="shared" si="8"/>
        <v>22613383.859999999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397000</v>
      </c>
      <c r="L259" s="19">
        <f>SUM(F259:K259)</f>
        <v>397000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204451.43</v>
      </c>
      <c r="L260" s="19">
        <f>SUM(F260:K260)</f>
        <v>204451.43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80000</v>
      </c>
      <c r="L265" s="19">
        <f t="shared" si="9"/>
        <v>80000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681451.42999999993</v>
      </c>
      <c r="L269" s="41">
        <f t="shared" si="9"/>
        <v>681451.42999999993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12555308.07</v>
      </c>
      <c r="G270" s="42">
        <f t="shared" si="11"/>
        <v>6198741.1199999992</v>
      </c>
      <c r="H270" s="42">
        <f t="shared" si="11"/>
        <v>2911151.31</v>
      </c>
      <c r="I270" s="42">
        <f t="shared" si="11"/>
        <v>727896.96</v>
      </c>
      <c r="J270" s="42">
        <f t="shared" si="11"/>
        <v>210622.21000000002</v>
      </c>
      <c r="K270" s="42">
        <f t="shared" si="11"/>
        <v>691115.61999999988</v>
      </c>
      <c r="L270" s="42">
        <f t="shared" si="11"/>
        <v>23294835.289999999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1820</v>
      </c>
      <c r="G275" s="18">
        <v>139.22999999999999</v>
      </c>
      <c r="H275" s="18">
        <v>8291.8799999999992</v>
      </c>
      <c r="I275" s="18">
        <v>0</v>
      </c>
      <c r="J275" s="18">
        <v>0</v>
      </c>
      <c r="K275" s="18">
        <v>0</v>
      </c>
      <c r="L275" s="19">
        <f>SUM(F275:K275)</f>
        <v>10251.109999999999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79859</v>
      </c>
      <c r="G276" s="18">
        <v>14630.38</v>
      </c>
      <c r="H276" s="18">
        <v>6585.68</v>
      </c>
      <c r="I276" s="18">
        <v>6448.37</v>
      </c>
      <c r="J276" s="18">
        <v>3400.79</v>
      </c>
      <c r="K276" s="18">
        <v>0</v>
      </c>
      <c r="L276" s="19">
        <f>SUM(F276:K276)</f>
        <v>110924.21999999999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>
        <v>0</v>
      </c>
      <c r="H281" s="18">
        <v>9209.61</v>
      </c>
      <c r="I281" s="18">
        <v>1250</v>
      </c>
      <c r="J281" s="18">
        <v>398</v>
      </c>
      <c r="K281" s="18">
        <v>0</v>
      </c>
      <c r="L281" s="19">
        <f t="shared" si="12"/>
        <v>10857.61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678.62</v>
      </c>
      <c r="I287" s="18">
        <v>0</v>
      </c>
      <c r="J287" s="18">
        <v>0</v>
      </c>
      <c r="K287" s="18">
        <v>0</v>
      </c>
      <c r="L287" s="19">
        <f>SUM(F287:K287)</f>
        <v>678.62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81679</v>
      </c>
      <c r="G289" s="42">
        <f t="shared" si="13"/>
        <v>14769.609999999999</v>
      </c>
      <c r="H289" s="42">
        <f t="shared" si="13"/>
        <v>24765.789999999997</v>
      </c>
      <c r="I289" s="42">
        <f t="shared" si="13"/>
        <v>7698.37</v>
      </c>
      <c r="J289" s="42">
        <f t="shared" si="13"/>
        <v>3798.79</v>
      </c>
      <c r="K289" s="42">
        <f t="shared" si="13"/>
        <v>0</v>
      </c>
      <c r="L289" s="41">
        <f t="shared" si="13"/>
        <v>132711.56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34266.160000000003</v>
      </c>
      <c r="G294" s="18">
        <v>2122.7600000000002</v>
      </c>
      <c r="H294" s="18">
        <v>9343.2000000000007</v>
      </c>
      <c r="I294" s="18">
        <v>20383.12</v>
      </c>
      <c r="J294" s="18">
        <v>0</v>
      </c>
      <c r="K294" s="18">
        <v>0</v>
      </c>
      <c r="L294" s="19">
        <f>SUM(F294:K294)</f>
        <v>66115.240000000005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138832.48000000001</v>
      </c>
      <c r="G295" s="18">
        <v>24481.31</v>
      </c>
      <c r="H295" s="18">
        <v>75.709999999999994</v>
      </c>
      <c r="I295" s="18">
        <v>0</v>
      </c>
      <c r="J295" s="18">
        <v>1905</v>
      </c>
      <c r="K295" s="18">
        <v>0</v>
      </c>
      <c r="L295" s="19">
        <f>SUM(F295:K295)</f>
        <v>165294.5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1188.21</v>
      </c>
      <c r="G300" s="18">
        <v>225.14</v>
      </c>
      <c r="H300" s="18">
        <v>9447.07</v>
      </c>
      <c r="I300" s="18">
        <v>530</v>
      </c>
      <c r="J300" s="18">
        <v>0</v>
      </c>
      <c r="K300" s="18">
        <v>0</v>
      </c>
      <c r="L300" s="19">
        <f t="shared" si="14"/>
        <v>11390.42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f>293+45.81</f>
        <v>338.81</v>
      </c>
      <c r="I306" s="18">
        <v>0</v>
      </c>
      <c r="J306" s="18">
        <v>0</v>
      </c>
      <c r="K306" s="18">
        <v>0</v>
      </c>
      <c r="L306" s="19">
        <f>SUM(F306:K306)</f>
        <v>338.81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174286.85</v>
      </c>
      <c r="G308" s="42">
        <f t="shared" si="15"/>
        <v>26829.21</v>
      </c>
      <c r="H308" s="42">
        <f t="shared" si="15"/>
        <v>19204.79</v>
      </c>
      <c r="I308" s="42">
        <f t="shared" si="15"/>
        <v>20913.12</v>
      </c>
      <c r="J308" s="42">
        <f t="shared" si="15"/>
        <v>1905</v>
      </c>
      <c r="K308" s="42">
        <f t="shared" si="15"/>
        <v>0</v>
      </c>
      <c r="L308" s="41">
        <f t="shared" si="15"/>
        <v>243138.97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255965.85</v>
      </c>
      <c r="G337" s="41">
        <f t="shared" si="20"/>
        <v>41598.82</v>
      </c>
      <c r="H337" s="41">
        <f t="shared" si="20"/>
        <v>43970.58</v>
      </c>
      <c r="I337" s="41">
        <f t="shared" si="20"/>
        <v>28611.489999999998</v>
      </c>
      <c r="J337" s="41">
        <f t="shared" si="20"/>
        <v>5703.79</v>
      </c>
      <c r="K337" s="41">
        <f t="shared" si="20"/>
        <v>0</v>
      </c>
      <c r="L337" s="41">
        <f t="shared" si="20"/>
        <v>375850.53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255965.85</v>
      </c>
      <c r="G351" s="41">
        <f>G337</f>
        <v>41598.82</v>
      </c>
      <c r="H351" s="41">
        <f>H337</f>
        <v>43970.58</v>
      </c>
      <c r="I351" s="41">
        <f>I337</f>
        <v>28611.489999999998</v>
      </c>
      <c r="J351" s="41">
        <f>J337</f>
        <v>5703.79</v>
      </c>
      <c r="K351" s="47">
        <f>K337+K350</f>
        <v>0</v>
      </c>
      <c r="L351" s="41">
        <f>L337+L350</f>
        <v>375850.53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60980.6</v>
      </c>
      <c r="G357" s="18">
        <v>45854.76</v>
      </c>
      <c r="H357" s="18">
        <v>2168.91</v>
      </c>
      <c r="I357" s="18">
        <v>50889.32</v>
      </c>
      <c r="J357" s="18">
        <v>0</v>
      </c>
      <c r="K357" s="18">
        <v>0</v>
      </c>
      <c r="L357" s="13">
        <f>SUM(F357:K357)</f>
        <v>159893.59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106940.83</v>
      </c>
      <c r="G358" s="18">
        <v>76096.88</v>
      </c>
      <c r="H358" s="18">
        <v>29573.99</v>
      </c>
      <c r="I358" s="18">
        <v>97469.99</v>
      </c>
      <c r="J358" s="18">
        <v>3724.5</v>
      </c>
      <c r="K358" s="18">
        <v>0</v>
      </c>
      <c r="L358" s="19">
        <f>SUM(F358:K358)</f>
        <v>313806.19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167921.43</v>
      </c>
      <c r="G361" s="47">
        <f t="shared" si="22"/>
        <v>121951.64000000001</v>
      </c>
      <c r="H361" s="47">
        <f t="shared" si="22"/>
        <v>31742.9</v>
      </c>
      <c r="I361" s="47">
        <f t="shared" si="22"/>
        <v>148359.31</v>
      </c>
      <c r="J361" s="47">
        <f t="shared" si="22"/>
        <v>3724.5</v>
      </c>
      <c r="K361" s="47">
        <f t="shared" si="22"/>
        <v>0</v>
      </c>
      <c r="L361" s="47">
        <f t="shared" si="22"/>
        <v>473699.78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47291.18</v>
      </c>
      <c r="G366" s="18">
        <v>88898.61</v>
      </c>
      <c r="H366" s="18"/>
      <c r="I366" s="56">
        <f>SUM(F366:H366)</f>
        <v>136189.79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3598.14</v>
      </c>
      <c r="G367" s="63">
        <v>8571.3799999999992</v>
      </c>
      <c r="H367" s="63"/>
      <c r="I367" s="56">
        <f>SUM(F367:H367)</f>
        <v>12169.519999999999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50889.32</v>
      </c>
      <c r="G368" s="47">
        <f>SUM(G366:G367)</f>
        <v>97469.99</v>
      </c>
      <c r="H368" s="47">
        <f>SUM(H366:H367)</f>
        <v>0</v>
      </c>
      <c r="I368" s="47">
        <f>SUM(I366:I367)</f>
        <v>148359.31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80000</v>
      </c>
      <c r="H395" s="18">
        <v>63.48</v>
      </c>
      <c r="I395" s="18"/>
      <c r="J395" s="24" t="s">
        <v>289</v>
      </c>
      <c r="K395" s="24" t="s">
        <v>289</v>
      </c>
      <c r="L395" s="56">
        <f t="shared" si="26"/>
        <v>80063.48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80000</v>
      </c>
      <c r="H400" s="47">
        <f>SUM(H394:H399)</f>
        <v>63.48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80063.48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 t="s">
        <v>913</v>
      </c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>
        <f>1416.79+4705.27</f>
        <v>6122.06</v>
      </c>
      <c r="J402" s="24" t="s">
        <v>289</v>
      </c>
      <c r="K402" s="24" t="s">
        <v>289</v>
      </c>
      <c r="L402" s="56">
        <f>SUM(F402:K402)</f>
        <v>6122.06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6122.06</v>
      </c>
      <c r="J406" s="49" t="s">
        <v>289</v>
      </c>
      <c r="K406" s="49" t="s">
        <v>289</v>
      </c>
      <c r="L406" s="47">
        <f>SUM(L402:L405)</f>
        <v>6122.06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80000</v>
      </c>
      <c r="H407" s="47">
        <f>H392+H400+H406</f>
        <v>63.48</v>
      </c>
      <c r="I407" s="47">
        <f>I392+I400+I406</f>
        <v>6122.06</v>
      </c>
      <c r="J407" s="24" t="s">
        <v>289</v>
      </c>
      <c r="K407" s="24" t="s">
        <v>289</v>
      </c>
      <c r="L407" s="47">
        <f>L392+L400+L406</f>
        <v>86185.54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79401.509999999995</v>
      </c>
      <c r="I421" s="18"/>
      <c r="J421" s="18"/>
      <c r="K421" s="18"/>
      <c r="L421" s="56">
        <f t="shared" si="29"/>
        <v>79401.509999999995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79401.509999999995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79401.509999999995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 t="s">
        <v>913</v>
      </c>
      <c r="B428" s="6">
        <v>17</v>
      </c>
      <c r="C428" s="6">
        <v>15</v>
      </c>
      <c r="D428" s="2" t="s">
        <v>433</v>
      </c>
      <c r="E428" s="6"/>
      <c r="F428" s="18">
        <v>3950</v>
      </c>
      <c r="G428" s="18">
        <f>232.06+54.28+259.9+8.4</f>
        <v>554.64</v>
      </c>
      <c r="H428" s="18">
        <v>1416.79</v>
      </c>
      <c r="I428" s="18"/>
      <c r="J428" s="18"/>
      <c r="K428" s="18">
        <v>200.63</v>
      </c>
      <c r="L428" s="56">
        <f>SUM(F428:K428)</f>
        <v>6122.06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3950</v>
      </c>
      <c r="G432" s="47">
        <f t="shared" si="31"/>
        <v>554.64</v>
      </c>
      <c r="H432" s="47">
        <f t="shared" si="31"/>
        <v>1416.79</v>
      </c>
      <c r="I432" s="47">
        <f t="shared" si="31"/>
        <v>0</v>
      </c>
      <c r="J432" s="47">
        <f t="shared" si="31"/>
        <v>0</v>
      </c>
      <c r="K432" s="47">
        <f t="shared" si="31"/>
        <v>200.63</v>
      </c>
      <c r="L432" s="47">
        <f t="shared" si="31"/>
        <v>6122.06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3950</v>
      </c>
      <c r="G433" s="47">
        <f t="shared" si="32"/>
        <v>554.64</v>
      </c>
      <c r="H433" s="47">
        <f t="shared" si="32"/>
        <v>80818.299999999988</v>
      </c>
      <c r="I433" s="47">
        <f t="shared" si="32"/>
        <v>0</v>
      </c>
      <c r="J433" s="47">
        <f t="shared" si="32"/>
        <v>0</v>
      </c>
      <c r="K433" s="47">
        <f t="shared" si="32"/>
        <v>200.63</v>
      </c>
      <c r="L433" s="47">
        <f t="shared" si="32"/>
        <v>85523.569999999992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>
        <v>237.61</v>
      </c>
      <c r="H440" s="18"/>
      <c r="I440" s="56">
        <f t="shared" si="33"/>
        <v>237.61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96591.2</v>
      </c>
      <c r="H441" s="18"/>
      <c r="I441" s="56">
        <f t="shared" si="33"/>
        <v>96591.2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96828.81</v>
      </c>
      <c r="H445" s="13">
        <f>SUM(H438:H444)</f>
        <v>0</v>
      </c>
      <c r="I445" s="13">
        <f>SUM(I438:I444)</f>
        <v>96828.81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v>79694.03</v>
      </c>
      <c r="H447" s="18"/>
      <c r="I447" s="56">
        <f>SUM(F447:H447)</f>
        <v>79694.03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>
        <v>237.61</v>
      </c>
      <c r="H448" s="18"/>
      <c r="I448" s="56">
        <f>SUM(F448:H448)</f>
        <v>237.61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79931.64</v>
      </c>
      <c r="H451" s="72">
        <f>SUM(H447:H450)</f>
        <v>0</v>
      </c>
      <c r="I451" s="72">
        <f>SUM(I447:I450)</f>
        <v>79931.64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16235.2+661.97</f>
        <v>16897.170000000002</v>
      </c>
      <c r="H458" s="18"/>
      <c r="I458" s="56">
        <f t="shared" si="34"/>
        <v>16897.170000000002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16897.170000000002</v>
      </c>
      <c r="H459" s="83">
        <f>SUM(H453:H458)</f>
        <v>0</v>
      </c>
      <c r="I459" s="83">
        <f>SUM(I453:I458)</f>
        <v>16897.170000000002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96828.81</v>
      </c>
      <c r="H460" s="42">
        <f>H451+H459</f>
        <v>0</v>
      </c>
      <c r="I460" s="42">
        <f>I451+I459</f>
        <v>96828.81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328329.36</v>
      </c>
      <c r="G464" s="18">
        <v>70529.539999999994</v>
      </c>
      <c r="H464" s="18">
        <v>0</v>
      </c>
      <c r="I464" s="18">
        <v>30.89</v>
      </c>
      <c r="J464" s="18">
        <v>16272.17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23398704.830000002</v>
      </c>
      <c r="G467" s="18">
        <f>G192</f>
        <v>417236.16000000003</v>
      </c>
      <c r="H467" s="18">
        <f>H192</f>
        <v>375850.52999999997</v>
      </c>
      <c r="I467" s="18">
        <f>I192</f>
        <v>0.03</v>
      </c>
      <c r="J467" s="18">
        <f>J192</f>
        <v>86185.54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f>13747.9+150+120.83</f>
        <v>14018.73</v>
      </c>
      <c r="G468" s="18">
        <f>124.9+164.35</f>
        <v>289.25</v>
      </c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23412723.560000002</v>
      </c>
      <c r="G469" s="53">
        <f>SUM(G467:G468)</f>
        <v>417525.41000000003</v>
      </c>
      <c r="H469" s="53">
        <f>SUM(H467:H468)</f>
        <v>375850.52999999997</v>
      </c>
      <c r="I469" s="53">
        <f>SUM(I467:I468)</f>
        <v>0.03</v>
      </c>
      <c r="J469" s="53">
        <f>SUM(J467:J468)</f>
        <v>86185.54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23294835.289999999</v>
      </c>
      <c r="G471" s="18">
        <f>L361</f>
        <v>473699.78</v>
      </c>
      <c r="H471" s="18">
        <f>L351</f>
        <v>375850.53</v>
      </c>
      <c r="I471" s="18">
        <v>0</v>
      </c>
      <c r="J471" s="18">
        <f>L433</f>
        <v>85523.569999999992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f>2039.62-336.37+90</f>
        <v>1793.25</v>
      </c>
      <c r="G472" s="18">
        <f>4732.16+2964.24</f>
        <v>7696.4</v>
      </c>
      <c r="H472" s="18"/>
      <c r="I472" s="18"/>
      <c r="J472" s="18">
        <v>36.97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23296628.539999999</v>
      </c>
      <c r="G473" s="53">
        <f>SUM(G471:G472)</f>
        <v>481396.18000000005</v>
      </c>
      <c r="H473" s="53">
        <f>SUM(H471:H472)</f>
        <v>375850.53</v>
      </c>
      <c r="I473" s="53">
        <f>SUM(I471:I472)</f>
        <v>0</v>
      </c>
      <c r="J473" s="53">
        <f>SUM(J471:J472)</f>
        <v>85560.54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444424.38000000268</v>
      </c>
      <c r="G475" s="53">
        <f>(G464+G469)- G473</f>
        <v>6658.7699999999604</v>
      </c>
      <c r="H475" s="53">
        <f>(H464+H469)- H473</f>
        <v>0</v>
      </c>
      <c r="I475" s="53">
        <f>(I464+I469)- I473</f>
        <v>30.92</v>
      </c>
      <c r="J475" s="53">
        <f>(J464+J469)- J473</f>
        <v>16897.169999999998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 t="s">
        <v>915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8" t="s">
        <v>915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3799000</v>
      </c>
      <c r="G492" s="18">
        <v>3883620</v>
      </c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4.25</v>
      </c>
      <c r="G493" s="18">
        <v>4.24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1717000</v>
      </c>
      <c r="G494" s="18">
        <v>3300000</v>
      </c>
      <c r="H494" s="18"/>
      <c r="I494" s="18"/>
      <c r="J494" s="18"/>
      <c r="K494" s="53">
        <f>SUM(F494:J494)</f>
        <v>5017000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12000</v>
      </c>
      <c r="G496" s="18">
        <v>195000</v>
      </c>
      <c r="H496" s="18"/>
      <c r="I496" s="18"/>
      <c r="J496" s="18"/>
      <c r="K496" s="53">
        <f t="shared" si="35"/>
        <v>207000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1705000</v>
      </c>
      <c r="G497" s="204">
        <v>3105000</v>
      </c>
      <c r="H497" s="204"/>
      <c r="I497" s="204"/>
      <c r="J497" s="204"/>
      <c r="K497" s="205">
        <f t="shared" si="35"/>
        <v>4810000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226375</v>
      </c>
      <c r="G498" s="18">
        <v>1112765.74</v>
      </c>
      <c r="H498" s="18"/>
      <c r="I498" s="18"/>
      <c r="J498" s="18"/>
      <c r="K498" s="53">
        <f t="shared" si="35"/>
        <v>1339140.74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1931375</v>
      </c>
      <c r="G499" s="42">
        <f>SUM(G497:G498)</f>
        <v>4217765.74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6149140.7400000002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205000</v>
      </c>
      <c r="G500" s="204">
        <v>195000</v>
      </c>
      <c r="H500" s="204"/>
      <c r="I500" s="204"/>
      <c r="J500" s="204"/>
      <c r="K500" s="205">
        <f t="shared" si="35"/>
        <v>400000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44900</v>
      </c>
      <c r="G501" s="18">
        <v>140950.01</v>
      </c>
      <c r="H501" s="18"/>
      <c r="I501" s="18"/>
      <c r="J501" s="18"/>
      <c r="K501" s="53">
        <f t="shared" si="35"/>
        <v>185850.01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249900</v>
      </c>
      <c r="G502" s="42">
        <f>SUM(G500:G501)</f>
        <v>335950.01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585850.01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1232662.53</v>
      </c>
      <c r="G520" s="18">
        <f>661625.25-17002.39</f>
        <v>644622.86</v>
      </c>
      <c r="H520" s="18">
        <v>11747.11</v>
      </c>
      <c r="I520" s="18">
        <v>12369.78</v>
      </c>
      <c r="J520" s="18">
        <v>5585.37</v>
      </c>
      <c r="K520" s="18"/>
      <c r="L520" s="88">
        <f>SUM(F520:K520)</f>
        <v>1906987.6500000004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1558310.54</v>
      </c>
      <c r="G521" s="18">
        <f>907319.29-19688.83</f>
        <v>887630.46000000008</v>
      </c>
      <c r="H521" s="18">
        <f>1908.61+267.39</f>
        <v>2176</v>
      </c>
      <c r="I521" s="18">
        <v>4122.5</v>
      </c>
      <c r="J521" s="18">
        <v>5346.31</v>
      </c>
      <c r="K521" s="18"/>
      <c r="L521" s="88">
        <f>SUM(F521:K521)</f>
        <v>2457585.81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2790973.0700000003</v>
      </c>
      <c r="G523" s="108">
        <f t="shared" ref="G523:L523" si="36">SUM(G520:G522)</f>
        <v>1532253.32</v>
      </c>
      <c r="H523" s="108">
        <f t="shared" si="36"/>
        <v>13923.11</v>
      </c>
      <c r="I523" s="108">
        <f t="shared" si="36"/>
        <v>16492.28</v>
      </c>
      <c r="J523" s="108">
        <f t="shared" si="36"/>
        <v>10931.68</v>
      </c>
      <c r="K523" s="108">
        <f t="shared" si="36"/>
        <v>0</v>
      </c>
      <c r="L523" s="89">
        <f t="shared" si="36"/>
        <v>4364573.4600000009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64209</v>
      </c>
      <c r="G525" s="18">
        <v>32565.1</v>
      </c>
      <c r="H525" s="18">
        <v>425437.63</v>
      </c>
      <c r="I525" s="18">
        <v>4009.93</v>
      </c>
      <c r="J525" s="18"/>
      <c r="K525" s="18"/>
      <c r="L525" s="88">
        <f>SUM(F525:K525)</f>
        <v>526221.66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55262.14</v>
      </c>
      <c r="G526" s="18">
        <v>17651.63</v>
      </c>
      <c r="H526" s="18">
        <v>135419.04</v>
      </c>
      <c r="I526" s="18">
        <v>2054.0700000000002</v>
      </c>
      <c r="J526" s="18"/>
      <c r="K526" s="18"/>
      <c r="L526" s="88">
        <f>SUM(F526:K526)</f>
        <v>210386.88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119471.14</v>
      </c>
      <c r="G528" s="89">
        <f t="shared" ref="G528:L528" si="37">SUM(G525:G527)</f>
        <v>50216.729999999996</v>
      </c>
      <c r="H528" s="89">
        <f t="shared" si="37"/>
        <v>560856.67000000004</v>
      </c>
      <c r="I528" s="89">
        <f t="shared" si="37"/>
        <v>6064</v>
      </c>
      <c r="J528" s="89">
        <f t="shared" si="37"/>
        <v>0</v>
      </c>
      <c r="K528" s="89">
        <f t="shared" si="37"/>
        <v>0</v>
      </c>
      <c r="L528" s="89">
        <f t="shared" si="37"/>
        <v>736608.54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32683.200000000001</v>
      </c>
      <c r="G530" s="18">
        <v>17002.39</v>
      </c>
      <c r="H530" s="18">
        <v>9334.4599999999991</v>
      </c>
      <c r="I530" s="18"/>
      <c r="J530" s="18"/>
      <c r="K530" s="18"/>
      <c r="L530" s="88">
        <f>SUM(F530:K530)</f>
        <v>59020.049999999996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34387.199999999997</v>
      </c>
      <c r="G531" s="18">
        <v>19688.830000000002</v>
      </c>
      <c r="H531" s="18">
        <v>5412.6</v>
      </c>
      <c r="I531" s="18"/>
      <c r="J531" s="18"/>
      <c r="K531" s="18"/>
      <c r="L531" s="88">
        <f>SUM(F531:K531)</f>
        <v>59488.63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67070.399999999994</v>
      </c>
      <c r="G533" s="89">
        <f t="shared" ref="G533:L533" si="38">SUM(G530:G532)</f>
        <v>36691.22</v>
      </c>
      <c r="H533" s="89">
        <f t="shared" si="38"/>
        <v>14747.06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118508.68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110850.1</v>
      </c>
      <c r="I540" s="18"/>
      <c r="J540" s="18"/>
      <c r="K540" s="18"/>
      <c r="L540" s="88">
        <f>SUM(F540:K540)</f>
        <v>110850.1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37637.67</v>
      </c>
      <c r="I541" s="18"/>
      <c r="J541" s="18"/>
      <c r="K541" s="18"/>
      <c r="L541" s="88">
        <f>SUM(F541:K541)</f>
        <v>37637.67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148487.77000000002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148487.77000000002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2977514.6100000003</v>
      </c>
      <c r="G544" s="89">
        <f t="shared" ref="G544:L544" si="41">G523+G528+G533+G538+G543</f>
        <v>1619161.27</v>
      </c>
      <c r="H544" s="89">
        <f t="shared" si="41"/>
        <v>738014.6100000001</v>
      </c>
      <c r="I544" s="89">
        <f t="shared" si="41"/>
        <v>22556.28</v>
      </c>
      <c r="J544" s="89">
        <f t="shared" si="41"/>
        <v>10931.68</v>
      </c>
      <c r="K544" s="89">
        <f t="shared" si="41"/>
        <v>0</v>
      </c>
      <c r="L544" s="89">
        <f t="shared" si="41"/>
        <v>5368178.4500000011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1906987.6500000004</v>
      </c>
      <c r="G548" s="87">
        <f>L525</f>
        <v>526221.66</v>
      </c>
      <c r="H548" s="87">
        <f>L530</f>
        <v>59020.049999999996</v>
      </c>
      <c r="I548" s="87">
        <f>L535</f>
        <v>0</v>
      </c>
      <c r="J548" s="87">
        <f>L540</f>
        <v>110850.1</v>
      </c>
      <c r="K548" s="87">
        <f>SUM(F548:J548)</f>
        <v>2603079.4600000004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2457585.81</v>
      </c>
      <c r="G549" s="87">
        <f>L526</f>
        <v>210386.88</v>
      </c>
      <c r="H549" s="87">
        <f>L531</f>
        <v>59488.63</v>
      </c>
      <c r="I549" s="87">
        <f>L536</f>
        <v>0</v>
      </c>
      <c r="J549" s="87">
        <f>L541</f>
        <v>37637.67</v>
      </c>
      <c r="K549" s="87">
        <f>SUM(F549:J549)</f>
        <v>2765098.9899999998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4364573.4600000009</v>
      </c>
      <c r="G551" s="89">
        <f t="shared" si="42"/>
        <v>736608.54</v>
      </c>
      <c r="H551" s="89">
        <f t="shared" si="42"/>
        <v>118508.68</v>
      </c>
      <c r="I551" s="89">
        <f t="shared" si="42"/>
        <v>0</v>
      </c>
      <c r="J551" s="89">
        <f t="shared" si="42"/>
        <v>148487.77000000002</v>
      </c>
      <c r="K551" s="89">
        <f t="shared" si="42"/>
        <v>5368178.45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4940.71</v>
      </c>
      <c r="G581" s="18">
        <v>0</v>
      </c>
      <c r="H581" s="18"/>
      <c r="I581" s="87">
        <f t="shared" si="47"/>
        <v>4940.71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330256.7</v>
      </c>
      <c r="I590" s="18">
        <v>183398.9</v>
      </c>
      <c r="J590" s="18"/>
      <c r="K590" s="104">
        <f t="shared" ref="K590:K596" si="48">SUM(H590:J590)</f>
        <v>513655.6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110850.1</v>
      </c>
      <c r="I591" s="18">
        <v>37637.67</v>
      </c>
      <c r="J591" s="18"/>
      <c r="K591" s="104">
        <f t="shared" si="48"/>
        <v>148487.77000000002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8319.4500000000007</v>
      </c>
      <c r="J593" s="18"/>
      <c r="K593" s="104">
        <f t="shared" si="48"/>
        <v>8319.4500000000007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441106.80000000005</v>
      </c>
      <c r="I597" s="108">
        <f>SUM(I590:I596)</f>
        <v>229356.02000000002</v>
      </c>
      <c r="J597" s="108">
        <f>SUM(J590:J596)</f>
        <v>0</v>
      </c>
      <c r="K597" s="108">
        <f>SUM(K590:K596)</f>
        <v>670462.81999999995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54126.99</v>
      </c>
      <c r="I603" s="18">
        <v>147557.01</v>
      </c>
      <c r="J603" s="18"/>
      <c r="K603" s="104">
        <f>SUM(H603:J603)</f>
        <v>201684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54126.99</v>
      </c>
      <c r="I604" s="108">
        <f>SUM(I601:I603)</f>
        <v>147557.01</v>
      </c>
      <c r="J604" s="108">
        <f>SUM(J601:J603)</f>
        <v>0</v>
      </c>
      <c r="K604" s="108">
        <f>SUM(K601:K603)</f>
        <v>201684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6301.4</v>
      </c>
      <c r="G611" s="18">
        <f>390.69+91.37+712.06+15+17</f>
        <v>1226.1199999999999</v>
      </c>
      <c r="H611" s="18"/>
      <c r="I611" s="18"/>
      <c r="J611" s="18"/>
      <c r="K611" s="18"/>
      <c r="L611" s="88">
        <f>SUM(F611:K611)</f>
        <v>7527.5199999999995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6301.4</v>
      </c>
      <c r="G613" s="108">
        <f t="shared" si="49"/>
        <v>1226.1199999999999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7527.5199999999995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647747.70000000019</v>
      </c>
      <c r="H616" s="109">
        <f>SUM(F51)</f>
        <v>647747.69999999995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24441.45</v>
      </c>
      <c r="H617" s="109">
        <f>SUM(G51)</f>
        <v>24441.449999999997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96764.26</v>
      </c>
      <c r="H618" s="109">
        <f>SUM(H51)</f>
        <v>96764.26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30.92</v>
      </c>
      <c r="H619" s="109">
        <f>SUM(I51)</f>
        <v>30.92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96828.81</v>
      </c>
      <c r="H620" s="109">
        <f>SUM(J51)</f>
        <v>96828.81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444424.37999999995</v>
      </c>
      <c r="H621" s="109">
        <f>F475</f>
        <v>444424.38000000268</v>
      </c>
      <c r="I621" s="121" t="s">
        <v>101</v>
      </c>
      <c r="J621" s="109">
        <f t="shared" ref="J621:J654" si="50">G621-H621</f>
        <v>-2.7357600629329681E-9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6658.7699999999968</v>
      </c>
      <c r="H622" s="109">
        <f>G475</f>
        <v>6658.7699999999604</v>
      </c>
      <c r="I622" s="121" t="s">
        <v>102</v>
      </c>
      <c r="J622" s="109">
        <f t="shared" si="50"/>
        <v>3.637978807091713E-11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30.92</v>
      </c>
      <c r="H624" s="109">
        <f>I475</f>
        <v>30.92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16897.170000000002</v>
      </c>
      <c r="H625" s="109">
        <f>J475</f>
        <v>16897.169999999998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23398704.830000002</v>
      </c>
      <c r="H626" s="104">
        <f>SUM(F467)</f>
        <v>23398704.830000002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417236.16000000003</v>
      </c>
      <c r="H627" s="104">
        <f>SUM(G467)</f>
        <v>417236.16000000003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375850.52999999997</v>
      </c>
      <c r="H628" s="104">
        <f>SUM(H467)</f>
        <v>375850.52999999997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0.03</v>
      </c>
      <c r="H629" s="104">
        <f>SUM(I467)</f>
        <v>0.03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86185.54</v>
      </c>
      <c r="H630" s="104">
        <f>SUM(J467)</f>
        <v>86185.54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23294835.289999999</v>
      </c>
      <c r="H631" s="104">
        <f>SUM(F471)</f>
        <v>23294835.289999999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375850.53</v>
      </c>
      <c r="H632" s="104">
        <f>SUM(H471)</f>
        <v>375850.53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148359.31</v>
      </c>
      <c r="H633" s="104">
        <f>I368</f>
        <v>148359.31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473699.78</v>
      </c>
      <c r="H634" s="104">
        <f>SUM(G471)</f>
        <v>473699.78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86185.54</v>
      </c>
      <c r="H636" s="164">
        <f>SUM(J467)</f>
        <v>86185.54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85523.569999999992</v>
      </c>
      <c r="H637" s="164">
        <f>SUM(J471)</f>
        <v>85523.569999999992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96828.81</v>
      </c>
      <c r="H639" s="104">
        <f>SUM(G460)</f>
        <v>96828.81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96828.81</v>
      </c>
      <c r="H641" s="104">
        <f>SUM(I460)</f>
        <v>96828.81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63.48</v>
      </c>
      <c r="H643" s="104">
        <f>H407</f>
        <v>63.48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80000</v>
      </c>
      <c r="H644" s="104">
        <f>G407</f>
        <v>80000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86185.54</v>
      </c>
      <c r="H645" s="104">
        <f>L407</f>
        <v>86185.54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670462.81999999995</v>
      </c>
      <c r="H646" s="104">
        <f>L207+L225+L243</f>
        <v>670462.81999999995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201684</v>
      </c>
      <c r="H647" s="104">
        <f>(J256+J337)-(J254+J335)</f>
        <v>201684.00000000003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441106.8</v>
      </c>
      <c r="H648" s="104">
        <f>H597</f>
        <v>441106.80000000005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229356.02</v>
      </c>
      <c r="H649" s="104">
        <f>I597</f>
        <v>229356.02000000002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80000</v>
      </c>
      <c r="H654" s="104">
        <f>K265+K346</f>
        <v>80000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10781835.185000001</v>
      </c>
      <c r="G659" s="19">
        <f>(L228+L308+L358)</f>
        <v>12666456.985000001</v>
      </c>
      <c r="H659" s="19">
        <f>(L246+L327+L359)</f>
        <v>0</v>
      </c>
      <c r="I659" s="19">
        <f>SUM(F659:H659)</f>
        <v>23448292.170000002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115138.5398975203</v>
      </c>
      <c r="G660" s="19">
        <f>(L358/IF(SUM(L357:L359)=0,1,SUM(L357:L359))*(SUM(G96:G109)))</f>
        <v>225970.20010247966</v>
      </c>
      <c r="H660" s="19">
        <f>(L359/IF(SUM(L357:L359)=0,1,SUM(L357:L359))*(SUM(G96:G109)))</f>
        <v>0</v>
      </c>
      <c r="I660" s="19">
        <f>SUM(F660:H660)</f>
        <v>341108.74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441106.8</v>
      </c>
      <c r="G661" s="19">
        <f>(L225+L305)-(J225+J305)</f>
        <v>229356.02</v>
      </c>
      <c r="H661" s="19">
        <f>(L243+L324)-(J243+J324)</f>
        <v>0</v>
      </c>
      <c r="I661" s="19">
        <f>SUM(F661:H661)</f>
        <v>670462.81999999995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59067.7</v>
      </c>
      <c r="G662" s="199">
        <f>SUM(G574:G586)+SUM(I601:I603)+L611</f>
        <v>155084.53</v>
      </c>
      <c r="H662" s="199">
        <f>SUM(H574:H586)+SUM(J601:J603)+L612</f>
        <v>0</v>
      </c>
      <c r="I662" s="19">
        <f>SUM(F662:H662)</f>
        <v>214152.22999999998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10166522.14510248</v>
      </c>
      <c r="G663" s="19">
        <f>G659-SUM(G660:G662)</f>
        <v>12056046.234897522</v>
      </c>
      <c r="H663" s="19">
        <f>H659-SUM(H660:H662)</f>
        <v>0</v>
      </c>
      <c r="I663" s="19">
        <f>I659-SUM(I660:I662)</f>
        <v>22222568.380000003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565.33000000000004</v>
      </c>
      <c r="G664" s="248">
        <v>727.18</v>
      </c>
      <c r="H664" s="248"/>
      <c r="I664" s="19">
        <f>SUM(F664:H664)</f>
        <v>1292.51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17983.34</v>
      </c>
      <c r="G666" s="19">
        <f>ROUND(G663/G664,2)</f>
        <v>16579.18</v>
      </c>
      <c r="H666" s="19" t="e">
        <f>ROUND(H663/H664,2)</f>
        <v>#DIV/0!</v>
      </c>
      <c r="I666" s="19">
        <f>ROUND(I663/I664,2)</f>
        <v>17193.34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17983.34</v>
      </c>
      <c r="G671" s="19">
        <f>ROUND((G663+G668)/(G664+G669),2)</f>
        <v>16579.18</v>
      </c>
      <c r="H671" s="19" t="e">
        <f>ROUND((H663+H668)/(H664+H669),2)</f>
        <v>#DIV/0!</v>
      </c>
      <c r="I671" s="19">
        <f>ROUND((I663+I668)/(I664+I669),2)</f>
        <v>17193.34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A33" sqref="A3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AMHERST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7503061.4800000004</v>
      </c>
      <c r="C9" s="229">
        <f>'DOE25'!G196+'DOE25'!G214+'DOE25'!G232+'DOE25'!G275+'DOE25'!G294+'DOE25'!G313</f>
        <v>3416124.1599999997</v>
      </c>
    </row>
    <row r="10" spans="1:3" x14ac:dyDescent="0.2">
      <c r="A10" t="s">
        <v>779</v>
      </c>
      <c r="B10" s="240">
        <f>3742230.41+2936261.4+43081.16+58025.67+39829.68+7600+12200+239925.06+103065.6+6301.4+31726.16+845+195+1820</f>
        <v>7223106.54</v>
      </c>
      <c r="C10" s="240">
        <v>3288352.94</v>
      </c>
    </row>
    <row r="11" spans="1:3" x14ac:dyDescent="0.2">
      <c r="A11" t="s">
        <v>780</v>
      </c>
      <c r="B11" s="240">
        <f>108878.59+153595.76</f>
        <v>262474.34999999998</v>
      </c>
      <c r="C11" s="240">
        <v>119503.88</v>
      </c>
    </row>
    <row r="12" spans="1:3" x14ac:dyDescent="0.2">
      <c r="A12" t="s">
        <v>781</v>
      </c>
      <c r="B12" s="240">
        <f>1980.69+13999.9+1500</f>
        <v>17480.59</v>
      </c>
      <c r="C12" s="240">
        <v>8267.34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7503061.4799999995</v>
      </c>
      <c r="C13" s="231">
        <f>SUM(C10:C12)</f>
        <v>3416124.1599999997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2977514.61</v>
      </c>
      <c r="C18" s="229">
        <f>'DOE25'!G197+'DOE25'!G215+'DOE25'!G233+'DOE25'!G276+'DOE25'!G295+'DOE25'!G314</f>
        <v>1619161.27</v>
      </c>
    </row>
    <row r="19" spans="1:3" x14ac:dyDescent="0.2">
      <c r="A19" t="s">
        <v>779</v>
      </c>
      <c r="B19" s="240">
        <f>866979.81+547978.94+12722.35+29029.05+1000+25315.44+55262.14+64209+102316.92+1741.38+47409.34+47121.73+64425+60000</f>
        <v>1925511.0999999999</v>
      </c>
      <c r="C19" s="240">
        <v>1045454.32</v>
      </c>
    </row>
    <row r="20" spans="1:3" x14ac:dyDescent="0.2">
      <c r="A20" t="s">
        <v>780</v>
      </c>
      <c r="B20" s="240">
        <f>188206.62+169418.24+276103.12+256938.65+74407.48+19859</f>
        <v>984933.11</v>
      </c>
      <c r="C20" s="240">
        <v>537234.31999999995</v>
      </c>
    </row>
    <row r="21" spans="1:3" x14ac:dyDescent="0.2">
      <c r="A21" t="s">
        <v>781</v>
      </c>
      <c r="B21" s="240">
        <f>34387.2+32683.2</f>
        <v>67070.399999999994</v>
      </c>
      <c r="C21" s="240">
        <v>36472.629999999997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2977514.61</v>
      </c>
      <c r="C22" s="231">
        <f>SUM(C19:C21)</f>
        <v>1619161.2699999998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66664</v>
      </c>
      <c r="C36" s="235">
        <f>'DOE25'!G199+'DOE25'!G217+'DOE25'!G235+'DOE25'!G278+'DOE25'!G297+'DOE25'!G316</f>
        <v>10392.42</v>
      </c>
    </row>
    <row r="37" spans="1:3" x14ac:dyDescent="0.2">
      <c r="A37" t="s">
        <v>779</v>
      </c>
      <c r="B37" s="240">
        <v>27397</v>
      </c>
      <c r="C37" s="240">
        <v>4270.99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39267</v>
      </c>
      <c r="C39" s="240">
        <v>6121.43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66664</v>
      </c>
      <c r="C40" s="231">
        <f>SUM(C37:C39)</f>
        <v>10392.42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AMHERST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16357214.48</v>
      </c>
      <c r="D5" s="20">
        <f>SUM('DOE25'!L196:L199)+SUM('DOE25'!L214:L217)+SUM('DOE25'!L232:L235)-F5-G5</f>
        <v>16214914.41</v>
      </c>
      <c r="E5" s="243"/>
      <c r="F5" s="255">
        <f>SUM('DOE25'!J196:J199)+SUM('DOE25'!J214:J217)+SUM('DOE25'!J232:J235)</f>
        <v>141870.07</v>
      </c>
      <c r="G5" s="53">
        <f>SUM('DOE25'!K196:K199)+SUM('DOE25'!K214:K217)+SUM('DOE25'!K232:K235)</f>
        <v>430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1054779.02</v>
      </c>
      <c r="D6" s="20">
        <f>'DOE25'!L201+'DOE25'!L219+'DOE25'!L237-F6-G6</f>
        <v>1054779.02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431988.52</v>
      </c>
      <c r="D7" s="20">
        <f>'DOE25'!L202+'DOE25'!L220+'DOE25'!L238-F7-G7</f>
        <v>430738.93</v>
      </c>
      <c r="E7" s="243"/>
      <c r="F7" s="255">
        <f>'DOE25'!J202+'DOE25'!J220+'DOE25'!J238</f>
        <v>1249.5899999999999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1190161.04</v>
      </c>
      <c r="D8" s="243"/>
      <c r="E8" s="20">
        <f>'DOE25'!L203+'DOE25'!L221+'DOE25'!L239-F8-G8-D9-D11</f>
        <v>1184758.3500000001</v>
      </c>
      <c r="F8" s="255">
        <f>'DOE25'!J203+'DOE25'!J221+'DOE25'!J239</f>
        <v>0</v>
      </c>
      <c r="G8" s="53">
        <f>'DOE25'!K203+'DOE25'!K221+'DOE25'!K239</f>
        <v>5402.6900000000005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1208629.33</v>
      </c>
      <c r="D12" s="20">
        <f>'DOE25'!L204+'DOE25'!L222+'DOE25'!L240-F12-G12</f>
        <v>1185704.3500000001</v>
      </c>
      <c r="E12" s="243"/>
      <c r="F12" s="255">
        <f>'DOE25'!J204+'DOE25'!J222+'DOE25'!J240</f>
        <v>19144.98</v>
      </c>
      <c r="G12" s="53">
        <f>'DOE25'!K204+'DOE25'!K222+'DOE25'!K240</f>
        <v>3780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505</v>
      </c>
      <c r="D13" s="243"/>
      <c r="E13" s="20">
        <f>'DOE25'!L205+'DOE25'!L223+'DOE25'!L241-F13-G13</f>
        <v>505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1356907.12</v>
      </c>
      <c r="D14" s="20">
        <f>'DOE25'!L206+'DOE25'!L224+'DOE25'!L242-F14-G14</f>
        <v>1332645.06</v>
      </c>
      <c r="E14" s="243"/>
      <c r="F14" s="255">
        <f>'DOE25'!J206+'DOE25'!J224+'DOE25'!J242</f>
        <v>24210.560000000001</v>
      </c>
      <c r="G14" s="53">
        <f>'DOE25'!K206+'DOE25'!K224+'DOE25'!K242</f>
        <v>51.5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670462.81999999995</v>
      </c>
      <c r="D15" s="20">
        <f>'DOE25'!L207+'DOE25'!L225+'DOE25'!L243-F15-G15</f>
        <v>670462.81999999995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328094.52999999997</v>
      </c>
      <c r="D16" s="243"/>
      <c r="E16" s="20">
        <f>'DOE25'!L208+'DOE25'!L226+'DOE25'!L244-F16-G16</f>
        <v>318589.51999999996</v>
      </c>
      <c r="F16" s="255">
        <f>'DOE25'!J208+'DOE25'!J226+'DOE25'!J244</f>
        <v>9505.01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14642</v>
      </c>
      <c r="D22" s="243"/>
      <c r="E22" s="243"/>
      <c r="F22" s="255">
        <f>'DOE25'!L254+'DOE25'!L335</f>
        <v>14642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601451.42999999993</v>
      </c>
      <c r="D25" s="243"/>
      <c r="E25" s="243"/>
      <c r="F25" s="258"/>
      <c r="G25" s="256"/>
      <c r="H25" s="257">
        <f>'DOE25'!L259+'DOE25'!L260+'DOE25'!L340+'DOE25'!L341</f>
        <v>601451.42999999993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337509.99</v>
      </c>
      <c r="D29" s="20">
        <f>'DOE25'!L357+'DOE25'!L358+'DOE25'!L359-'DOE25'!I366-F29-G29</f>
        <v>333785.49</v>
      </c>
      <c r="E29" s="243"/>
      <c r="F29" s="255">
        <f>'DOE25'!J357+'DOE25'!J358+'DOE25'!J359</f>
        <v>3724.5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375850.53</v>
      </c>
      <c r="D31" s="20">
        <f>'DOE25'!L289+'DOE25'!L308+'DOE25'!L327+'DOE25'!L332+'DOE25'!L333+'DOE25'!L334-F31-G31</f>
        <v>370146.74000000005</v>
      </c>
      <c r="E31" s="243"/>
      <c r="F31" s="255">
        <f>'DOE25'!J289+'DOE25'!J308+'DOE25'!J327+'DOE25'!J332+'DOE25'!J333+'DOE25'!J334</f>
        <v>5703.79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21593176.819999997</v>
      </c>
      <c r="E33" s="246">
        <f>SUM(E5:E31)</f>
        <v>1503852.87</v>
      </c>
      <c r="F33" s="246">
        <f>SUM(F5:F31)</f>
        <v>220050.50000000003</v>
      </c>
      <c r="G33" s="246">
        <f>SUM(G5:G31)</f>
        <v>9664.19</v>
      </c>
      <c r="H33" s="246">
        <f>SUM(H5:H31)</f>
        <v>601451.42999999993</v>
      </c>
    </row>
    <row r="35" spans="2:8" ht="12" thickBot="1" x14ac:dyDescent="0.25">
      <c r="B35" s="253" t="s">
        <v>847</v>
      </c>
      <c r="D35" s="254">
        <f>E33</f>
        <v>1503852.87</v>
      </c>
      <c r="E35" s="249"/>
    </row>
    <row r="36" spans="2:8" ht="12" thickTop="1" x14ac:dyDescent="0.2">
      <c r="B36" t="s">
        <v>815</v>
      </c>
      <c r="D36" s="20">
        <f>D33</f>
        <v>21593176.819999997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AMHERST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-768209.90999999992</v>
      </c>
      <c r="D8" s="95">
        <f>'DOE25'!G9</f>
        <v>0</v>
      </c>
      <c r="E8" s="95">
        <f>'DOE25'!H9</f>
        <v>0</v>
      </c>
      <c r="F8" s="95">
        <f>'DOE25'!I9</f>
        <v>30.92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901823.41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155104.91</v>
      </c>
      <c r="D11" s="95">
        <f>'DOE25'!G12</f>
        <v>11462.02</v>
      </c>
      <c r="E11" s="95">
        <f>'DOE25'!H12</f>
        <v>0</v>
      </c>
      <c r="F11" s="95">
        <f>'DOE25'!I12</f>
        <v>0</v>
      </c>
      <c r="G11" s="95">
        <f>'DOE25'!J12</f>
        <v>237.61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332288.94</v>
      </c>
      <c r="D12" s="95">
        <f>'DOE25'!G13</f>
        <v>12616.32</v>
      </c>
      <c r="E12" s="95">
        <f>'DOE25'!H13</f>
        <v>96764.26</v>
      </c>
      <c r="F12" s="95">
        <f>'DOE25'!I13</f>
        <v>0</v>
      </c>
      <c r="G12" s="95">
        <f>'DOE25'!J13</f>
        <v>96591.2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8678.5499999999993</v>
      </c>
      <c r="D13" s="95">
        <f>'DOE25'!G14</f>
        <v>363.11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18061.8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647747.70000000019</v>
      </c>
      <c r="D18" s="41">
        <f>SUM(D8:D17)</f>
        <v>24441.45</v>
      </c>
      <c r="E18" s="41">
        <f>SUM(E8:E17)</f>
        <v>96764.26</v>
      </c>
      <c r="F18" s="41">
        <f>SUM(F8:F17)</f>
        <v>30.92</v>
      </c>
      <c r="G18" s="41">
        <f>SUM(G8:G17)</f>
        <v>96828.81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87110.51</v>
      </c>
      <c r="F21" s="95">
        <f>'DOE25'!I22</f>
        <v>0</v>
      </c>
      <c r="G21" s="95">
        <f>'DOE25'!J22</f>
        <v>79694.03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5122.05</v>
      </c>
      <c r="D22" s="95">
        <f>'DOE25'!G23</f>
        <v>17737.16</v>
      </c>
      <c r="E22" s="95">
        <f>'DOE25'!H23</f>
        <v>1017.43</v>
      </c>
      <c r="F22" s="95">
        <f>'DOE25'!I23</f>
        <v>0</v>
      </c>
      <c r="G22" s="95">
        <f>'DOE25'!J23</f>
        <v>237.61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143182.49</v>
      </c>
      <c r="D23" s="95">
        <f>'DOE25'!G24</f>
        <v>45.52</v>
      </c>
      <c r="E23" s="95">
        <f>'DOE25'!H24</f>
        <v>6933.83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7849.66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35889.620000000003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11222.8</v>
      </c>
      <c r="D29" s="95">
        <f>'DOE25'!G30</f>
        <v>0</v>
      </c>
      <c r="E29" s="95">
        <f>'DOE25'!H30</f>
        <v>1702.49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56.7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203323.31999999998</v>
      </c>
      <c r="D31" s="41">
        <f>SUM(D21:D30)</f>
        <v>17782.68</v>
      </c>
      <c r="E31" s="41">
        <f>SUM(E21:E30)</f>
        <v>96764.26</v>
      </c>
      <c r="F31" s="41">
        <f>SUM(F21:F30)</f>
        <v>0</v>
      </c>
      <c r="G31" s="41">
        <f>SUM(G21:G30)</f>
        <v>79931.64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46046.85</v>
      </c>
      <c r="D46" s="95">
        <f>'DOE25'!G47</f>
        <v>6658.7699999999968</v>
      </c>
      <c r="E46" s="95">
        <f>'DOE25'!H47</f>
        <v>0</v>
      </c>
      <c r="F46" s="95">
        <f>'DOE25'!I47</f>
        <v>30.92</v>
      </c>
      <c r="G46" s="95">
        <f>'DOE25'!J47</f>
        <v>16897.170000000002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398377.52999999997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444424.37999999995</v>
      </c>
      <c r="D49" s="41">
        <f>SUM(D34:D48)</f>
        <v>6658.7699999999968</v>
      </c>
      <c r="E49" s="41">
        <f>SUM(E34:E48)</f>
        <v>0</v>
      </c>
      <c r="F49" s="41">
        <f>SUM(F34:F48)</f>
        <v>30.92</v>
      </c>
      <c r="G49" s="41">
        <f>SUM(G34:G48)</f>
        <v>16897.170000000002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647747.69999999995</v>
      </c>
      <c r="D50" s="41">
        <f>D49+D31</f>
        <v>24441.449999999997</v>
      </c>
      <c r="E50" s="41">
        <f>E49+E31</f>
        <v>96764.26</v>
      </c>
      <c r="F50" s="41">
        <f>F49+F31</f>
        <v>30.92</v>
      </c>
      <c r="G50" s="41">
        <f>G49+G31</f>
        <v>96828.81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16284407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1058394.1000000001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5184.66</v>
      </c>
      <c r="D58" s="95">
        <f>'DOE25'!G95</f>
        <v>0</v>
      </c>
      <c r="E58" s="95">
        <f>'DOE25'!H95</f>
        <v>0</v>
      </c>
      <c r="F58" s="95">
        <f>'DOE25'!I95</f>
        <v>0.03</v>
      </c>
      <c r="G58" s="95">
        <f>'DOE25'!J95</f>
        <v>63.48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339594.68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182770.94999999998</v>
      </c>
      <c r="D60" s="95">
        <f>SUM('DOE25'!G97:G109)</f>
        <v>1514.06</v>
      </c>
      <c r="E60" s="95">
        <f>SUM('DOE25'!H97:H109)</f>
        <v>20695.62</v>
      </c>
      <c r="F60" s="95">
        <f>SUM('DOE25'!I97:I109)</f>
        <v>0</v>
      </c>
      <c r="G60" s="95">
        <f>SUM('DOE25'!J97:J109)</f>
        <v>6122.06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1246349.71</v>
      </c>
      <c r="D61" s="130">
        <f>SUM(D56:D60)</f>
        <v>341108.74</v>
      </c>
      <c r="E61" s="130">
        <f>SUM(E56:E60)</f>
        <v>20695.62</v>
      </c>
      <c r="F61" s="130">
        <f>SUM(F56:F60)</f>
        <v>0.03</v>
      </c>
      <c r="G61" s="130">
        <f>SUM(G56:G60)</f>
        <v>6185.54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17530756.710000001</v>
      </c>
      <c r="D62" s="22">
        <f>D55+D61</f>
        <v>341108.74</v>
      </c>
      <c r="E62" s="22">
        <f>E55+E61</f>
        <v>20695.62</v>
      </c>
      <c r="F62" s="22">
        <f>F55+F61</f>
        <v>0.03</v>
      </c>
      <c r="G62" s="22">
        <f>G55+G61</f>
        <v>6185.54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2702667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2601693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5304360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139400.97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284432.23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3811.53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423833.19999999995</v>
      </c>
      <c r="D77" s="130">
        <f>SUM(D71:D76)</f>
        <v>3811.53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5728193.2000000002</v>
      </c>
      <c r="D80" s="130">
        <f>SUM(D78:D79)+D77+D69</f>
        <v>3811.53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139754.92000000001</v>
      </c>
      <c r="D87" s="95">
        <f>SUM('DOE25'!G152:G160)</f>
        <v>72315.89</v>
      </c>
      <c r="E87" s="95">
        <f>SUM('DOE25'!H152:H160)</f>
        <v>355154.91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139754.92000000001</v>
      </c>
      <c r="D90" s="131">
        <f>SUM(D84:D89)</f>
        <v>72315.89</v>
      </c>
      <c r="E90" s="131">
        <f>SUM(E84:E89)</f>
        <v>355154.91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80000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80000</v>
      </c>
    </row>
    <row r="103" spans="1:7" ht="12.75" thickTop="1" thickBot="1" x14ac:dyDescent="0.25">
      <c r="A103" s="33" t="s">
        <v>765</v>
      </c>
      <c r="C103" s="86">
        <f>C62+C80+C90+C102</f>
        <v>23398704.830000002</v>
      </c>
      <c r="D103" s="86">
        <f>D62+D80+D90+D102</f>
        <v>417236.16000000003</v>
      </c>
      <c r="E103" s="86">
        <f>E62+E80+E90+E102</f>
        <v>375850.52999999997</v>
      </c>
      <c r="F103" s="86">
        <f>F62+F80+F90+F102</f>
        <v>0.03</v>
      </c>
      <c r="G103" s="86">
        <f>G62+G80+G102</f>
        <v>86185.54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11324225.600000001</v>
      </c>
      <c r="D108" s="24" t="s">
        <v>289</v>
      </c>
      <c r="E108" s="95">
        <f>('DOE25'!L275)+('DOE25'!L294)+('DOE25'!L313)</f>
        <v>76366.350000000006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4943471.959999999</v>
      </c>
      <c r="D109" s="24" t="s">
        <v>289</v>
      </c>
      <c r="E109" s="95">
        <f>('DOE25'!L276)+('DOE25'!L295)+('DOE25'!L314)</f>
        <v>276218.71999999997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89516.92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16357214.48</v>
      </c>
      <c r="D114" s="86">
        <f>SUM(D108:D113)</f>
        <v>0</v>
      </c>
      <c r="E114" s="86">
        <f>SUM(E108:E113)</f>
        <v>352585.06999999995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1054779.02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431988.52</v>
      </c>
      <c r="D118" s="24" t="s">
        <v>289</v>
      </c>
      <c r="E118" s="95">
        <f>+('DOE25'!L281)+('DOE25'!L300)+('DOE25'!L319)</f>
        <v>22248.03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1190161.04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1208629.33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505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1356907.12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670462.81999999995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328094.52999999997</v>
      </c>
      <c r="D124" s="24" t="s">
        <v>289</v>
      </c>
      <c r="E124" s="95">
        <f>+('DOE25'!L287)+('DOE25'!L306)+('DOE25'!L325)</f>
        <v>1017.4300000000001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473699.78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6241527.3800000008</v>
      </c>
      <c r="D127" s="86">
        <f>SUM(D117:D126)</f>
        <v>473699.78</v>
      </c>
      <c r="E127" s="86">
        <f>SUM(E117:E126)</f>
        <v>23265.46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14642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397000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204451.43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200.63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80063.48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6122.06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-6185.5399999999936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696093.42999999993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200.63</v>
      </c>
    </row>
    <row r="144" spans="1:7" ht="12.75" thickTop="1" thickBot="1" x14ac:dyDescent="0.25">
      <c r="A144" s="33" t="s">
        <v>244</v>
      </c>
      <c r="C144" s="86">
        <f>(C114+C127+C143)</f>
        <v>23294835.289999999</v>
      </c>
      <c r="D144" s="86">
        <f>(D114+D127+D143)</f>
        <v>473699.78</v>
      </c>
      <c r="E144" s="86">
        <f>(E114+E127+E143)</f>
        <v>375850.52999999997</v>
      </c>
      <c r="F144" s="86">
        <f>(F114+F127+F143)</f>
        <v>0</v>
      </c>
      <c r="G144" s="86">
        <f>(G114+G127+G143)</f>
        <v>200.63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07/01</v>
      </c>
      <c r="C151" s="152" t="str">
        <f>'DOE25'!G490</f>
        <v>07/8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07/21</v>
      </c>
      <c r="C152" s="152" t="str">
        <f>'DOE25'!G491</f>
        <v>08/28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3799000</v>
      </c>
      <c r="C153" s="137">
        <f>'DOE25'!G492</f>
        <v>3883620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4.25</v>
      </c>
      <c r="C154" s="137">
        <f>'DOE25'!G493</f>
        <v>4.24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1717000</v>
      </c>
      <c r="C155" s="137">
        <f>'DOE25'!G494</f>
        <v>3300000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5017000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12000</v>
      </c>
      <c r="C157" s="137">
        <f>'DOE25'!G496</f>
        <v>195000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207000</v>
      </c>
    </row>
    <row r="158" spans="1:9" x14ac:dyDescent="0.2">
      <c r="A158" s="22" t="s">
        <v>35</v>
      </c>
      <c r="B158" s="137">
        <f>'DOE25'!F497</f>
        <v>1705000</v>
      </c>
      <c r="C158" s="137">
        <f>'DOE25'!G497</f>
        <v>3105000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4810000</v>
      </c>
    </row>
    <row r="159" spans="1:9" x14ac:dyDescent="0.2">
      <c r="A159" s="22" t="s">
        <v>36</v>
      </c>
      <c r="B159" s="137">
        <f>'DOE25'!F498</f>
        <v>226375</v>
      </c>
      <c r="C159" s="137">
        <f>'DOE25'!G498</f>
        <v>1112765.74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1339140.74</v>
      </c>
    </row>
    <row r="160" spans="1:9" x14ac:dyDescent="0.2">
      <c r="A160" s="22" t="s">
        <v>37</v>
      </c>
      <c r="B160" s="137">
        <f>'DOE25'!F499</f>
        <v>1931375</v>
      </c>
      <c r="C160" s="137">
        <f>'DOE25'!G499</f>
        <v>4217765.74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6149140.7400000002</v>
      </c>
    </row>
    <row r="161" spans="1:7" x14ac:dyDescent="0.2">
      <c r="A161" s="22" t="s">
        <v>38</v>
      </c>
      <c r="B161" s="137">
        <f>'DOE25'!F500</f>
        <v>205000</v>
      </c>
      <c r="C161" s="137">
        <f>'DOE25'!G500</f>
        <v>195000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400000</v>
      </c>
    </row>
    <row r="162" spans="1:7" x14ac:dyDescent="0.2">
      <c r="A162" s="22" t="s">
        <v>39</v>
      </c>
      <c r="B162" s="137">
        <f>'DOE25'!F501</f>
        <v>44900</v>
      </c>
      <c r="C162" s="137">
        <f>'DOE25'!G501</f>
        <v>140950.01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185850.01</v>
      </c>
    </row>
    <row r="163" spans="1:7" x14ac:dyDescent="0.2">
      <c r="A163" s="22" t="s">
        <v>246</v>
      </c>
      <c r="B163" s="137">
        <f>'DOE25'!F502</f>
        <v>249900</v>
      </c>
      <c r="C163" s="137">
        <f>'DOE25'!G502</f>
        <v>335950.01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585850.01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AMHERST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17983</v>
      </c>
    </row>
    <row r="5" spans="1:4" x14ac:dyDescent="0.2">
      <c r="B5" t="s">
        <v>704</v>
      </c>
      <c r="C5" s="179">
        <f>IF('DOE25'!G664+'DOE25'!G669=0,0,ROUND('DOE25'!G671,0))</f>
        <v>16579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17193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11400592</v>
      </c>
      <c r="D10" s="182">
        <f>ROUND((C10/$C$28)*100,1)</f>
        <v>48.9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5219691</v>
      </c>
      <c r="D11" s="182">
        <f>ROUND((C11/$C$28)*100,1)</f>
        <v>22.4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89517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1054779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454237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1519273</v>
      </c>
      <c r="D17" s="182">
        <f t="shared" si="0"/>
        <v>6.5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1208629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505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1356907</v>
      </c>
      <c r="D20" s="182">
        <f t="shared" si="0"/>
        <v>5.8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670463</v>
      </c>
      <c r="D21" s="182">
        <f t="shared" si="0"/>
        <v>2.9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204451</v>
      </c>
      <c r="D25" s="182">
        <f t="shared" si="0"/>
        <v>0.9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132591.26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23311635.260000002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14642</v>
      </c>
    </row>
    <row r="30" spans="1:4" x14ac:dyDescent="0.2">
      <c r="B30" s="187" t="s">
        <v>729</v>
      </c>
      <c r="C30" s="180">
        <f>SUM(C28:C29)</f>
        <v>23326277.260000002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397000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16284407</v>
      </c>
      <c r="D35" s="182">
        <f t="shared" ref="D35:D40" si="1">ROUND((C35/$C$41)*100,1)</f>
        <v>68.3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1273230.9000000022</v>
      </c>
      <c r="D36" s="182">
        <f t="shared" si="1"/>
        <v>5.3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5304360</v>
      </c>
      <c r="D37" s="182">
        <f t="shared" si="1"/>
        <v>22.2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427645</v>
      </c>
      <c r="D38" s="182">
        <f t="shared" si="1"/>
        <v>1.8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567226</v>
      </c>
      <c r="D39" s="182">
        <f t="shared" si="1"/>
        <v>2.4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23856868.900000002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AMHERST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2013-08-21T19:21:02Z</cp:lastPrinted>
  <dcterms:created xsi:type="dcterms:W3CDTF">1997-12-04T19:04:30Z</dcterms:created>
  <dcterms:modified xsi:type="dcterms:W3CDTF">2013-08-21T19:21:06Z</dcterms:modified>
</cp:coreProperties>
</file>