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B20" i="12"/>
  <c r="F366" i="1" l="1"/>
  <c r="I357" i="1"/>
  <c r="H603" i="1"/>
  <c r="H590" i="1"/>
  <c r="D9" i="13"/>
  <c r="H30" i="1" l="1"/>
  <c r="J275" i="1"/>
  <c r="H471" i="1"/>
  <c r="H160" i="1"/>
  <c r="I275" i="1" l="1"/>
  <c r="J95" i="1"/>
  <c r="G441" i="1"/>
  <c r="K284" i="1"/>
  <c r="H280" i="1"/>
  <c r="F276" i="1"/>
  <c r="J276" i="1"/>
  <c r="I276" i="1"/>
  <c r="G276" i="1"/>
  <c r="H275" i="1"/>
  <c r="G357" i="1"/>
  <c r="F357" i="1"/>
  <c r="H243" i="1"/>
  <c r="H207" i="1"/>
  <c r="I206" i="1"/>
  <c r="H206" i="1"/>
  <c r="G206" i="1"/>
  <c r="F206" i="1"/>
  <c r="K204" i="1"/>
  <c r="J204" i="1"/>
  <c r="I204" i="1"/>
  <c r="H204" i="1"/>
  <c r="G204" i="1"/>
  <c r="F204" i="1"/>
  <c r="K203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K199" i="1"/>
  <c r="I199" i="1"/>
  <c r="H199" i="1"/>
  <c r="G199" i="1"/>
  <c r="F199" i="1"/>
  <c r="H197" i="1"/>
  <c r="G197" i="1"/>
  <c r="F197" i="1"/>
  <c r="H196" i="1"/>
  <c r="H154" i="1" l="1"/>
  <c r="F95" i="1" l="1"/>
  <c r="F28" i="1"/>
  <c r="F14" i="1"/>
  <c r="F9" i="1"/>
  <c r="C37" i="10" l="1"/>
  <c r="F40" i="2" l="1"/>
  <c r="D39" i="2"/>
  <c r="G654" i="1"/>
  <c r="J654" i="1" s="1"/>
  <c r="F47" i="2"/>
  <c r="E47" i="2"/>
  <c r="D47" i="2"/>
  <c r="C47" i="2"/>
  <c r="F46" i="2"/>
  <c r="E46" i="2"/>
  <c r="E49" i="2" s="1"/>
  <c r="D46" i="2"/>
  <c r="C46" i="2"/>
  <c r="F44" i="2"/>
  <c r="E44" i="2"/>
  <c r="D44" i="2"/>
  <c r="C44" i="2"/>
  <c r="F43" i="2"/>
  <c r="E43" i="2"/>
  <c r="D43" i="2"/>
  <c r="C43" i="2"/>
  <c r="F42" i="2"/>
  <c r="E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E16" i="13" s="1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D7" i="13" s="1"/>
  <c r="C7" i="13" s="1"/>
  <c r="L220" i="1"/>
  <c r="L238" i="1"/>
  <c r="F12" i="13"/>
  <c r="G12" i="13"/>
  <c r="L204" i="1"/>
  <c r="L222" i="1"/>
  <c r="L240" i="1"/>
  <c r="F14" i="13"/>
  <c r="G14" i="13"/>
  <c r="L206" i="1"/>
  <c r="L224" i="1"/>
  <c r="C122" i="2" s="1"/>
  <c r="L242" i="1"/>
  <c r="F15" i="13"/>
  <c r="G15" i="13"/>
  <c r="L207" i="1"/>
  <c r="L225" i="1"/>
  <c r="L243" i="1"/>
  <c r="F17" i="13"/>
  <c r="G17" i="13"/>
  <c r="D17" i="13" s="1"/>
  <c r="C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E111" i="2" s="1"/>
  <c r="L280" i="1"/>
  <c r="L281" i="1"/>
  <c r="L282" i="1"/>
  <c r="E119" i="2" s="1"/>
  <c r="L283" i="1"/>
  <c r="E120" i="2" s="1"/>
  <c r="L284" i="1"/>
  <c r="L285" i="1"/>
  <c r="E122" i="2" s="1"/>
  <c r="L286" i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25" i="10" s="1"/>
  <c r="L340" i="1"/>
  <c r="L341" i="1"/>
  <c r="L254" i="1"/>
  <c r="C129" i="2" s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55" i="2" s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J139" i="1" s="1"/>
  <c r="F146" i="1"/>
  <c r="C84" i="2" s="1"/>
  <c r="F161" i="1"/>
  <c r="F168" i="1" s="1"/>
  <c r="G146" i="1"/>
  <c r="G161" i="1"/>
  <c r="H146" i="1"/>
  <c r="H161" i="1"/>
  <c r="I146" i="1"/>
  <c r="I161" i="1"/>
  <c r="L249" i="1"/>
  <c r="L331" i="1"/>
  <c r="C23" i="10" s="1"/>
  <c r="L253" i="1"/>
  <c r="L267" i="1"/>
  <c r="L268" i="1"/>
  <c r="C142" i="2" s="1"/>
  <c r="L348" i="1"/>
  <c r="E141" i="2" s="1"/>
  <c r="L349" i="1"/>
  <c r="I664" i="1"/>
  <c r="I669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F49" i="2" s="1"/>
  <c r="F50" i="2" s="1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F90" i="2" s="1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C102" i="2" s="1"/>
  <c r="F93" i="2"/>
  <c r="F102" i="2" s="1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10" i="2"/>
  <c r="C111" i="2"/>
  <c r="C112" i="2"/>
  <c r="E112" i="2"/>
  <c r="D114" i="2"/>
  <c r="F114" i="2"/>
  <c r="G114" i="2"/>
  <c r="C120" i="2"/>
  <c r="E123" i="2"/>
  <c r="C124" i="2"/>
  <c r="F127" i="2"/>
  <c r="G127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G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H50" i="1"/>
  <c r="I50" i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K256" i="1" s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J643" i="1" s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G640" i="1" s="1"/>
  <c r="F451" i="1"/>
  <c r="G451" i="1"/>
  <c r="H451" i="1"/>
  <c r="F459" i="1"/>
  <c r="G459" i="1"/>
  <c r="G460" i="1" s="1"/>
  <c r="H639" i="1" s="1"/>
  <c r="H459" i="1"/>
  <c r="H460" i="1" s="1"/>
  <c r="H640" i="1" s="1"/>
  <c r="F460" i="1"/>
  <c r="F469" i="1"/>
  <c r="G469" i="1"/>
  <c r="H469" i="1"/>
  <c r="I469" i="1"/>
  <c r="I475" i="1" s="1"/>
  <c r="H624" i="1" s="1"/>
  <c r="J469" i="1"/>
  <c r="J475" i="1" s="1"/>
  <c r="H625" i="1" s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H570" i="1" s="1"/>
  <c r="I559" i="1"/>
  <c r="J559" i="1"/>
  <c r="K559" i="1"/>
  <c r="L561" i="1"/>
  <c r="L564" i="1" s="1"/>
  <c r="L562" i="1"/>
  <c r="L563" i="1"/>
  <c r="F564" i="1"/>
  <c r="G564" i="1"/>
  <c r="H564" i="1"/>
  <c r="I564" i="1"/>
  <c r="I570" i="1" s="1"/>
  <c r="J564" i="1"/>
  <c r="K564" i="1"/>
  <c r="L566" i="1"/>
  <c r="L567" i="1"/>
  <c r="L568" i="1"/>
  <c r="L569" i="1" s="1"/>
  <c r="F569" i="1"/>
  <c r="G569" i="1"/>
  <c r="H569" i="1"/>
  <c r="I569" i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2" i="1"/>
  <c r="H642" i="1"/>
  <c r="G643" i="1"/>
  <c r="H644" i="1"/>
  <c r="G649" i="1"/>
  <c r="G650" i="1"/>
  <c r="G651" i="1"/>
  <c r="H651" i="1"/>
  <c r="G652" i="1"/>
  <c r="H652" i="1"/>
  <c r="G653" i="1"/>
  <c r="H653" i="1"/>
  <c r="H654" i="1"/>
  <c r="G256" i="1"/>
  <c r="G270" i="1" s="1"/>
  <c r="F31" i="2"/>
  <c r="G80" i="2"/>
  <c r="F61" i="2"/>
  <c r="G157" i="2"/>
  <c r="G102" i="2"/>
  <c r="D19" i="13"/>
  <c r="C19" i="13" s="1"/>
  <c r="E77" i="2"/>
  <c r="E80" i="2" s="1"/>
  <c r="L426" i="1"/>
  <c r="K570" i="1"/>
  <c r="I168" i="1"/>
  <c r="G22" i="2"/>
  <c r="J551" i="1"/>
  <c r="H551" i="1"/>
  <c r="H139" i="1"/>
  <c r="H191" i="1"/>
  <c r="K549" i="1" l="1"/>
  <c r="H544" i="1"/>
  <c r="K604" i="1"/>
  <c r="G647" i="1" s="1"/>
  <c r="J650" i="1"/>
  <c r="F551" i="1"/>
  <c r="K544" i="1"/>
  <c r="G544" i="1"/>
  <c r="H51" i="1"/>
  <c r="H618" i="1" s="1"/>
  <c r="J618" i="1" s="1"/>
  <c r="L269" i="1"/>
  <c r="K270" i="1"/>
  <c r="H475" i="1"/>
  <c r="H623" i="1" s="1"/>
  <c r="J623" i="1" s="1"/>
  <c r="G475" i="1"/>
  <c r="H622" i="1" s="1"/>
  <c r="I368" i="1"/>
  <c r="H633" i="1" s="1"/>
  <c r="J633" i="1" s="1"/>
  <c r="C118" i="2"/>
  <c r="C16" i="10"/>
  <c r="F256" i="1"/>
  <c r="F270" i="1" s="1"/>
  <c r="A40" i="12"/>
  <c r="J639" i="1"/>
  <c r="J640" i="1"/>
  <c r="C11" i="10"/>
  <c r="D5" i="13"/>
  <c r="C5" i="13" s="1"/>
  <c r="C20" i="10"/>
  <c r="E118" i="2"/>
  <c r="K337" i="1"/>
  <c r="K351" i="1" s="1"/>
  <c r="E109" i="2"/>
  <c r="D61" i="2"/>
  <c r="D62" i="2" s="1"/>
  <c r="C90" i="2"/>
  <c r="C49" i="2"/>
  <c r="J621" i="1"/>
  <c r="F51" i="1"/>
  <c r="H616" i="1" s="1"/>
  <c r="J616" i="1" s="1"/>
  <c r="C31" i="2"/>
  <c r="E31" i="2"/>
  <c r="E50" i="2" s="1"/>
  <c r="E18" i="2"/>
  <c r="C18" i="2"/>
  <c r="C16" i="13"/>
  <c r="K550" i="1"/>
  <c r="G161" i="2"/>
  <c r="G158" i="2"/>
  <c r="C55" i="2"/>
  <c r="C35" i="10"/>
  <c r="F111" i="1"/>
  <c r="E117" i="2"/>
  <c r="L255" i="1"/>
  <c r="D18" i="2"/>
  <c r="L392" i="1"/>
  <c r="C137" i="2" s="1"/>
  <c r="K597" i="1"/>
  <c r="G646" i="1" s="1"/>
  <c r="F80" i="2"/>
  <c r="F18" i="2"/>
  <c r="J111" i="1"/>
  <c r="J192" i="1" s="1"/>
  <c r="G645" i="1" s="1"/>
  <c r="C61" i="2"/>
  <c r="C62" i="2" s="1"/>
  <c r="L327" i="1"/>
  <c r="H659" i="1" s="1"/>
  <c r="E121" i="2"/>
  <c r="L289" i="1"/>
  <c r="C10" i="10"/>
  <c r="E108" i="2"/>
  <c r="F660" i="1"/>
  <c r="H660" i="1"/>
  <c r="H646" i="1"/>
  <c r="C123" i="2"/>
  <c r="G648" i="1"/>
  <c r="J648" i="1" s="1"/>
  <c r="D15" i="13"/>
  <c r="C15" i="13" s="1"/>
  <c r="C21" i="10"/>
  <c r="F661" i="1"/>
  <c r="I661" i="1" s="1"/>
  <c r="C110" i="2"/>
  <c r="C114" i="2" s="1"/>
  <c r="C12" i="10"/>
  <c r="H25" i="13"/>
  <c r="J638" i="1"/>
  <c r="C77" i="2"/>
  <c r="C80" i="2" s="1"/>
  <c r="L210" i="1"/>
  <c r="H168" i="1"/>
  <c r="H192" i="1" s="1"/>
  <c r="G628" i="1" s="1"/>
  <c r="J628" i="1" s="1"/>
  <c r="D126" i="2"/>
  <c r="D127" i="2" s="1"/>
  <c r="D144" i="2" s="1"/>
  <c r="C18" i="10"/>
  <c r="L246" i="1"/>
  <c r="C119" i="2"/>
  <c r="J624" i="1"/>
  <c r="I459" i="1"/>
  <c r="I445" i="1"/>
  <c r="G641" i="1" s="1"/>
  <c r="E102" i="2"/>
  <c r="I550" i="1"/>
  <c r="L538" i="1"/>
  <c r="G548" i="1"/>
  <c r="L528" i="1"/>
  <c r="E133" i="2"/>
  <c r="L350" i="1"/>
  <c r="F129" i="2"/>
  <c r="F143" i="2" s="1"/>
  <c r="F144" i="2" s="1"/>
  <c r="D12" i="13"/>
  <c r="C12" i="13" s="1"/>
  <c r="C17" i="10"/>
  <c r="I51" i="1"/>
  <c r="H619" i="1" s="1"/>
  <c r="G624" i="1"/>
  <c r="B163" i="2"/>
  <c r="G163" i="2" s="1"/>
  <c r="K502" i="1"/>
  <c r="F570" i="1"/>
  <c r="I544" i="1"/>
  <c r="H337" i="1"/>
  <c r="H351" i="1" s="1"/>
  <c r="I551" i="1"/>
  <c r="H111" i="1"/>
  <c r="E56" i="2"/>
  <c r="E61" i="2" s="1"/>
  <c r="E62" i="2" s="1"/>
  <c r="E129" i="2"/>
  <c r="F22" i="13"/>
  <c r="C22" i="13" s="1"/>
  <c r="L308" i="1"/>
  <c r="C117" i="2"/>
  <c r="C15" i="10"/>
  <c r="E13" i="13"/>
  <c r="C13" i="13" s="1"/>
  <c r="C19" i="10"/>
  <c r="C121" i="2"/>
  <c r="J642" i="1"/>
  <c r="A13" i="12"/>
  <c r="D14" i="13"/>
  <c r="C14" i="13" s="1"/>
  <c r="D6" i="13"/>
  <c r="C6" i="13" s="1"/>
  <c r="I451" i="1"/>
  <c r="L228" i="1"/>
  <c r="G659" i="1" s="1"/>
  <c r="G663" i="1" s="1"/>
  <c r="H256" i="1"/>
  <c r="H270" i="1" s="1"/>
  <c r="G159" i="2"/>
  <c r="C113" i="2"/>
  <c r="C26" i="10"/>
  <c r="G644" i="1"/>
  <c r="J644" i="1" s="1"/>
  <c r="L381" i="1"/>
  <c r="G635" i="1" s="1"/>
  <c r="J635" i="1" s="1"/>
  <c r="L336" i="1"/>
  <c r="D29" i="13"/>
  <c r="C29" i="13" s="1"/>
  <c r="F62" i="2"/>
  <c r="F103" i="2" s="1"/>
  <c r="L543" i="1"/>
  <c r="C13" i="10"/>
  <c r="L613" i="1"/>
  <c r="L523" i="1"/>
  <c r="J337" i="1"/>
  <c r="J351" i="1" s="1"/>
  <c r="C29" i="10"/>
  <c r="E8" i="13"/>
  <c r="C8" i="13" s="1"/>
  <c r="C24" i="10"/>
  <c r="G31" i="13"/>
  <c r="G33" i="13" s="1"/>
  <c r="I337" i="1"/>
  <c r="I351" i="1" s="1"/>
  <c r="J649" i="1"/>
  <c r="L406" i="1"/>
  <c r="C139" i="2" s="1"/>
  <c r="L570" i="1"/>
  <c r="I191" i="1"/>
  <c r="E9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G168" i="1"/>
  <c r="G139" i="1"/>
  <c r="F139" i="1"/>
  <c r="F192" i="1" s="1"/>
  <c r="G626" i="1" s="1"/>
  <c r="J626" i="1" s="1"/>
  <c r="G62" i="2"/>
  <c r="G103" i="2" s="1"/>
  <c r="G42" i="2"/>
  <c r="G49" i="2" s="1"/>
  <c r="G50" i="2" s="1"/>
  <c r="J50" i="1"/>
  <c r="G16" i="2"/>
  <c r="G18" i="2" s="1"/>
  <c r="J19" i="1"/>
  <c r="G620" i="1" s="1"/>
  <c r="F544" i="1"/>
  <c r="H433" i="1"/>
  <c r="J619" i="1"/>
  <c r="D102" i="2"/>
  <c r="I139" i="1"/>
  <c r="I192" i="1" s="1"/>
  <c r="G629" i="1" s="1"/>
  <c r="J629" i="1" s="1"/>
  <c r="A22" i="12"/>
  <c r="J651" i="1"/>
  <c r="G570" i="1"/>
  <c r="I433" i="1"/>
  <c r="G433" i="1"/>
  <c r="I662" i="1"/>
  <c r="C27" i="10"/>
  <c r="G634" i="1"/>
  <c r="J634" i="1" s="1"/>
  <c r="J646" i="1" l="1"/>
  <c r="H647" i="1"/>
  <c r="J647" i="1" s="1"/>
  <c r="L337" i="1"/>
  <c r="L351" i="1" s="1"/>
  <c r="G632" i="1" s="1"/>
  <c r="J632" i="1" s="1"/>
  <c r="E114" i="2"/>
  <c r="C39" i="10"/>
  <c r="E103" i="2"/>
  <c r="D103" i="2"/>
  <c r="C36" i="10"/>
  <c r="C103" i="2"/>
  <c r="C50" i="2"/>
  <c r="G671" i="1"/>
  <c r="C5" i="10" s="1"/>
  <c r="G666" i="1"/>
  <c r="F659" i="1"/>
  <c r="C28" i="10"/>
  <c r="D22" i="10" s="1"/>
  <c r="C140" i="2"/>
  <c r="C143" i="2" s="1"/>
  <c r="C144" i="2" s="1"/>
  <c r="L407" i="1"/>
  <c r="D31" i="13"/>
  <c r="C31" i="13" s="1"/>
  <c r="I660" i="1"/>
  <c r="F33" i="13"/>
  <c r="C127" i="2"/>
  <c r="E143" i="2"/>
  <c r="G551" i="1"/>
  <c r="K548" i="1"/>
  <c r="K551" i="1" s="1"/>
  <c r="H663" i="1"/>
  <c r="L256" i="1"/>
  <c r="L270" i="1" s="1"/>
  <c r="G631" i="1" s="1"/>
  <c r="J631" i="1" s="1"/>
  <c r="L544" i="1"/>
  <c r="I460" i="1"/>
  <c r="H641" i="1" s="1"/>
  <c r="J641" i="1" s="1"/>
  <c r="C25" i="13"/>
  <c r="H33" i="13"/>
  <c r="E127" i="2"/>
  <c r="E33" i="13"/>
  <c r="D35" i="13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D13" i="10" l="1"/>
  <c r="E144" i="2"/>
  <c r="D18" i="10"/>
  <c r="D24" i="10"/>
  <c r="D33" i="13"/>
  <c r="D36" i="13" s="1"/>
  <c r="D17" i="10"/>
  <c r="D25" i="10"/>
  <c r="D12" i="10"/>
  <c r="D21" i="10"/>
  <c r="D27" i="10"/>
  <c r="D20" i="10"/>
  <c r="D10" i="10"/>
  <c r="C30" i="10"/>
  <c r="D23" i="10"/>
  <c r="H666" i="1"/>
  <c r="H671" i="1"/>
  <c r="C6" i="10" s="1"/>
  <c r="G636" i="1"/>
  <c r="J636" i="1" s="1"/>
  <c r="H645" i="1"/>
  <c r="J645" i="1" s="1"/>
  <c r="D26" i="10"/>
  <c r="D16" i="10"/>
  <c r="F663" i="1"/>
  <c r="I659" i="1"/>
  <c r="I663" i="1" s="1"/>
  <c r="I671" i="1" s="1"/>
  <c r="C7" i="10" s="1"/>
  <c r="D15" i="10"/>
  <c r="D19" i="10"/>
  <c r="D11" i="10"/>
  <c r="C41" i="10"/>
  <c r="D38" i="10" s="1"/>
  <c r="I666" i="1" l="1"/>
  <c r="D28" i="10"/>
  <c r="F671" i="1"/>
  <c r="C4" i="10" s="1"/>
  <c r="F666" i="1"/>
  <c r="D37" i="10"/>
  <c r="D36" i="10"/>
  <c r="D35" i="10"/>
  <c r="D40" i="10"/>
  <c r="D39" i="10"/>
  <c r="D41" i="10" l="1"/>
  <c r="G50" i="1"/>
  <c r="G622" i="1" s="1"/>
  <c r="D42" i="2"/>
  <c r="D49" i="2"/>
  <c r="D50" i="2" s="1"/>
  <c r="G51" i="1" l="1"/>
  <c r="H617" i="1" s="1"/>
  <c r="J617" i="1" s="1"/>
  <c r="J622" i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<sst xmlns="http://schemas.openxmlformats.org/spreadsheetml/2006/main" count="3946" uniqueCount="912">
  <si>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</si>
  <si>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</si>
  <si>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</si>
  <si>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</si>
  <si>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</si>
  <si>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</si>
  <si>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</si>
  <si>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</si>
  <si>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</si>
  <si>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</si>
  <si>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</si>
  <si>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</si>
  <si>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</si>
  <si>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</si>
  <si>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</si>
  <si>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</si>
  <si>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</si>
  <si>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</si>
  <si>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</si>
  <si>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</si>
  <si>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</si>
  <si>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</si>
  <si>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</si>
  <si>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</si>
  <si>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</si>
  <si>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</si>
  <si>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</si>
  <si>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</si>
  <si>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</si>
  <si>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</si>
  <si>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</si>
  <si>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</si>
  <si>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</si>
  <si>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</si>
  <si>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</si>
  <si>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</si>
  <si>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</si>
  <si>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</si>
  <si>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</si>
  <si>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</si>
  <si>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</si>
  <si>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</si>
  <si>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</si>
  <si>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</si>
  <si>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</si>
  <si>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</si>
  <si>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</si>
  <si>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</si>
  <si>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</si>
  <si>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</si>
  <si>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</si>
  <si>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</si>
  <si>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</si>
  <si>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</si>
  <si>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</si>
  <si>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</si>
  <si>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</si>
  <si>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</si>
  <si>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</si>
  <si>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</si>
  <si>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</si>
  <si>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</si>
  <si>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</si>
  <si>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</si>
  <si>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</si>
  <si>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</si>
  <si>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</si>
  <si>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</si>
  <si>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</si>
  <si>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</si>
  <si>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</si>
  <si>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</si>
  <si>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</si>
  <si>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</si>
  <si>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</si>
  <si>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</si>
  <si>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</si>
  <si>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</si>
  <si>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</si>
  <si>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</si>
  <si>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</si>
  <si>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</si>
  <si>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</si>
  <si>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</si>
  <si>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</si>
  <si>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</si>
  <si>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</si>
  <si>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</si>
  <si>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</si>
  <si>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</si>
  <si>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</si>
  <si>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</si>
  <si>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</si>
  <si>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</si>
  <si>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</si>
  <si>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</si>
  <si>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</si>
  <si>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</si>
  <si>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</si>
  <si>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</si>
  <si>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</si>
  <si>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</si>
  <si>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</si>
  <si>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</si>
  <si>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</si>
  <si>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</si>
  <si>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</si>
  <si>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</si>
  <si>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</si>
  <si>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</si>
  <si>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</si>
  <si>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</si>
  <si>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</si>
  <si>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</si>
  <si>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</si>
  <si>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</si>
  <si>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</si>
  <si>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</si>
  <si>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</si>
  <si>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</si>
  <si>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</si>
  <si>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</si>
  <si>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</si>
  <si>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</si>
  <si>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</si>
  <si>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</si>
  <si>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</si>
  <si>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</si>
  <si>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</si>
  <si>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</si>
  <si>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</si>
  <si>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</si>
  <si>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</si>
  <si>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</si>
  <si>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</si>
  <si>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</si>
  <si>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</si>
  <si>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</si>
  <si>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</si>
  <si>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</si>
  <si>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</si>
  <si>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</si>
  <si>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</si>
  <si>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</si>
  <si>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</si>
  <si>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</si>
  <si>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</si>
  <si>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</si>
  <si>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</si>
  <si>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</si>
  <si>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</si>
  <si>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</si>
  <si>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</si>
  <si>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</si>
  <si>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</si>
  <si>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</si>
  <si>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</si>
  <si>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</si>
  <si>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</si>
  <si>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</si>
  <si>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</si>
  <si>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</si>
  <si>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</si>
  <si>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</si>
  <si>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</si>
  <si>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</si>
  <si>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</si>
  <si>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</si>
  <si>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</si>
  <si>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</si>
  <si>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</si>
  <si>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</si>
  <si>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</si>
  <si>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</si>
  <si>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</si>
  <si>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</si>
  <si>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</si>
  <si>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</si>
  <si>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</si>
  <si>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</si>
  <si>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</si>
  <si>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</si>
  <si>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</si>
  <si>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</si>
  <si>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</si>
  <si>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</si>
  <si>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</si>
  <si>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</si>
  <si>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</si>
  <si>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</si>
  <si>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</si>
  <si>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</si>
  <si>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</si>
  <si>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</si>
  <si>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</si>
  <si>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</si>
  <si>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</si>
  <si>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</si>
  <si>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</si>
  <si>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</si>
  <si>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</si>
  <si>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</si>
  <si>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</si>
  <si>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</si>
  <si>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</si>
  <si>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</si>
  <si>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</si>
  <si>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</si>
  <si>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</si>
  <si>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</si>
  <si>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</si>
  <si>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</si>
  <si>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</si>
  <si>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</si>
  <si>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</si>
  <si>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</si>
  <si>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</si>
  <si>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</si>
  <si>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</si>
  <si>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</si>
  <si>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</si>
  <si>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</si>
  <si>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</si>
  <si>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</si>
  <si>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</si>
  <si>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</si>
  <si>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</si>
  <si>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</si>
  <si>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</si>
  <si>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</si>
  <si>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</si>
  <si>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</si>
  <si>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</si>
  <si>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</si>
  <si>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</si>
  <si>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</si>
  <si>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</si>
  <si>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</si>
  <si>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</si>
  <si>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</si>
  <si>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</si>
  <si>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</si>
  <si>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</si>
  <si>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</si>
  <si>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</si>
  <si>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</si>
  <si>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</si>
  <si>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</si>
  <si>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</si>
  <si>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</si>
  <si>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</si>
  <si>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</si>
  <si>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</si>
  <si>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</si>
  <si>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</si>
  <si>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</si>
  <si>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</si>
  <si>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</si>
  <si>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</si>
  <si>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</si>
  <si>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</si>
  <si>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</si>
  <si>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</si>
  <si>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</si>
  <si>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</si>
  <si>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</si>
  <si>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</si>
  <si>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</si>
  <si>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</si>
  <si>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</si>
  <si>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</si>
  <si>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</si>
  <si>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</si>
  <si>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</si>
  <si>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</si>
  <si>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</si>
  <si>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</si>
  <si>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</si>
  <si>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</si>
  <si>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</si>
  <si>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</si>
  <si>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</si>
  <si>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</si>
  <si>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</si>
  <si>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</si>
  <si>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</si>
  <si>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</si>
  <si>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</si>
  <si>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</si>
  <si>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</si>
  <si>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</si>
  <si>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</si>
  <si>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</si>
  <si>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</si>
  <si>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</si>
  <si>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</si>
  <si>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</si>
  <si>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</si>
  <si>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</si>
  <si>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</si>
  <si>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</si>
  <si>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</si>
  <si>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</si>
  <si>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</si>
  <si>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</si>
  <si>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</si>
  <si>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</si>
  <si>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</si>
  <si>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</si>
  <si>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</si>
  <si>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</si>
  <si>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</si>
  <si>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</si>
  <si>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</si>
  <si>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</si>
  <si>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</si>
  <si>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</si>
  <si>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</si>
  <si>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</si>
  <si>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</si>
  <si>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</si>
  <si>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</si>
  <si>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</si>
  <si>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</si>
  <si>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</si>
  <si>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</si>
  <si>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</si>
  <si>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</si>
  <si>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</si>
  <si>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</si>
  <si>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</si>
  <si>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</si>
  <si>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</si>
  <si>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</si>
  <si>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</si>
  <si>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</si>
  <si>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</si>
  <si>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</si>
  <si>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</si>
  <si>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</si>
  <si>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</si>
  <si>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</si>
  <si>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</si>
  <si>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</si>
  <si>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</si>
  <si>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</si>
  <si>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</si>
  <si>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</si>
  <si>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</si>
  <si>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</si>
  <si>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</si>
  <si>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</si>
  <si>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</si>
  <si>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</si>
  <si>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</si>
  <si>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</si>
  <si>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</si>
  <si>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</si>
  <si>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</si>
  <si>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</si>
  <si>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</si>
  <si>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</si>
  <si>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</si>
  <si>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</si>
  <si>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</si>
  <si>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</si>
  <si>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</si>
  <si>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</si>
  <si>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</si>
  <si>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</si>
  <si>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</si>
  <si>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</si>
  <si>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</si>
  <si>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</si>
  <si>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</si>
  <si>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</si>
  <si>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</si>
  <si>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</si>
  <si>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</si>
  <si>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</si>
  <si>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</si>
  <si>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</si>
  <si>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</si>
  <si>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</si>
  <si>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</si>
  <si>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</si>
  <si>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</si>
  <si>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</si>
  <si>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</si>
  <si>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</si>
  <si>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</si>
  <si>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</si>
  <si>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</si>
  <si>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</si>
  <si>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</si>
  <si>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</si>
  <si>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</si>
  <si>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</si>
  <si>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</si>
  <si>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</si>
  <si>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</si>
  <si>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</si>
  <si>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</si>
  <si>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</si>
  <si>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</si>
  <si>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</si>
  <si>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</si>
  <si>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</si>
  <si>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</si>
  <si>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</si>
  <si>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</si>
  <si>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</si>
  <si>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</si>
  <si>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</si>
  <si>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</si>
  <si>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</si>
  <si>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</si>
  <si>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</si>
  <si>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</si>
  <si>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</si>
  <si>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</si>
  <si>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</si>
  <si>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</si>
  <si>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</si>
  <si>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</si>
  <si>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</si>
  <si>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</si>
  <si>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</si>
  <si>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</si>
  <si>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</si>
  <si>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</si>
  <si>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</si>
  <si>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</si>
  <si>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</si>
  <si>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</si>
  <si>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</si>
  <si>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</si>
  <si>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</si>
  <si>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</si>
  <si>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</si>
  <si>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</si>
  <si>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</si>
  <si>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</si>
  <si>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</si>
  <si>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</si>
  <si>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</si>
  <si>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</si>
  <si>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</si>
  <si>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</si>
  <si>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</si>
  <si>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</si>
  <si>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</si>
  <si>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</si>
  <si>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</si>
  <si>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</si>
  <si>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</si>
  <si>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</si>
  <si>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</si>
  <si>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</si>
  <si>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</si>
  <si>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</si>
  <si>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</si>
  <si>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</si>
  <si>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</si>
  <si>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</si>
  <si>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</si>
  <si>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</si>
  <si>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</si>
  <si>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</si>
  <si>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</si>
  <si>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</si>
  <si>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</si>
  <si>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</si>
  <si>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</si>
  <si>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</si>
  <si>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</si>
  <si>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</si>
  <si>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</si>
  <si>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</si>
  <si>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</si>
  <si>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</si>
  <si>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</si>
  <si>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</si>
  <si>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</si>
  <si>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</si>
  <si>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</si>
  <si>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</si>
  <si>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</si>
  <si>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</si>
  <si>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</si>
  <si>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</si>
  <si>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</si>
  <si>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</si>
  <si>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</si>
  <si>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</si>
  <si>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</si>
  <si>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</si>
  <si>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</si>
  <si>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</si>
  <si>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</si>
  <si>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</si>
  <si>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</si>
  <si>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</si>
  <si>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</si>
  <si>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</si>
  <si>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</si>
  <si>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</si>
  <si>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</si>
  <si>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</si>
  <si>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</si>
  <si>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</si>
  <si>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</si>
  <si>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</si>
  <si>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</si>
  <si>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</si>
  <si>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</si>
  <si>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</si>
  <si>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</si>
  <si>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</si>
  <si>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</si>
  <si>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</si>
  <si>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</si>
  <si>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</si>
  <si>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</si>
  <si>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</si>
  <si>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</si>
  <si>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</si>
  <si>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</si>
  <si>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</si>
  <si>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</si>
  <si>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</si>
  <si>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</si>
  <si>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</si>
  <si>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</si>
  <si>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</si>
  <si>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</si>
  <si>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</si>
  <si>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</si>
  <si>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</si>
  <si>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</si>
  <si>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</si>
  <si>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</si>
  <si>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</si>
  <si>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</si>
  <si>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</si>
  <si>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</si>
  <si>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</si>
  <si>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</si>
  <si>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</si>
  <si>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</si>
  <si>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</si>
  <si>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</si>
  <si>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</si>
  <si>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</si>
  <si>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</si>
  <si>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</si>
  <si>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</si>
  <si>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</si>
  <si>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</si>
  <si>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</si>
  <si>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</si>
  <si>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</si>
  <si>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</si>
  <si>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</si>
  <si>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</si>
  <si>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</si>
  <si>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</si>
  <si>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</si>
  <si>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</si>
  <si>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</si>
  <si>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</si>
  <si>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</si>
  <si>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</si>
  <si>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</si>
  <si>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</si>
  <si>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</si>
  <si>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</si>
  <si>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</si>
  <si>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</si>
  <si>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</si>
  <si>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</si>
  <si>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</si>
  <si>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</si>
  <si>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</si>
  <si>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</si>
  <si>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</si>
  <si>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</si>
  <si>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</si>
  <si>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</si>
  <si>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</si>
  <si>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</si>
  <si>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</si>
  <si>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</si>
  <si>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</si>
  <si>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</si>
  <si>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</si>
  <si>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</si>
  <si>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</si>
  <si>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</si>
  <si>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</si>
  <si>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</si>
  <si>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</si>
  <si>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</si>
  <si>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</si>
  <si>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</si>
  <si>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</si>
  <si>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</si>
  <si>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</si>
  <si>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</si>
  <si>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</si>
  <si>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</si>
  <si>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</si>
  <si>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</si>
  <si>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</si>
  <si>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</si>
  <si>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</si>
  <si>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</si>
  <si>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</si>
  <si>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</si>
  <si>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</si>
  <si>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</si>
  <si>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</si>
  <si>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</si>
  <si>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</si>
  <si>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</si>
  <si>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</si>
  <si>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</si>
  <si>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</si>
  <si>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</si>
  <si>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</si>
  <si>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</si>
  <si>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</si>
  <si>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</si>
  <si>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</si>
  <si>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</si>
  <si>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</si>
  <si>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</si>
  <si>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</si>
  <si>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</si>
  <si>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</si>
  <si>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</si>
  <si>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</si>
  <si>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</si>
  <si>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</si>
  <si>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</si>
  <si>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</si>
  <si>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</si>
  <si>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</si>
  <si>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</si>
  <si>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</si>
  <si>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</si>
  <si>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</si>
  <si>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</si>
  <si>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</si>
  <si>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</si>
  <si>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</si>
  <si>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</si>
  <si>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</si>
  <si>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</si>
  <si>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</si>
  <si>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</si>
  <si>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</si>
  <si>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</si>
  <si>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</si>
  <si>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</si>
  <si>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</si>
  <si>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</si>
  <si>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</si>
  <si>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</si>
  <si>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</si>
  <si>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</si>
  <si>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</si>
  <si>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</si>
  <si>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</si>
  <si>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</si>
  <si>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</si>
  <si>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</si>
  <si>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</si>
  <si>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</si>
  <si>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</si>
  <si>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</si>
  <si>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</si>
  <si>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</si>
  <si>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</si>
  <si>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</si>
  <si>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</si>
  <si>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</si>
  <si>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</si>
  <si>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</si>
  <si>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</si>
  <si>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</si>
  <si>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</si>
  <si>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</si>
  <si>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</si>
  <si>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</si>
  <si>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</si>
  <si>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</si>
  <si>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</si>
  <si>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</si>
  <si>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</si>
  <si>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</si>
  <si>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</si>
  <si>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</si>
  <si>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</si>
  <si>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</si>
  <si>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</si>
  <si>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</si>
  <si>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</si>
  <si>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</si>
  <si>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</si>
  <si>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</si>
  <si>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</si>
  <si>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</si>
  <si>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</si>
  <si>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</si>
  <si>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</si>
  <si>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</si>
  <si>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</si>
  <si>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</si>
  <si>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</si>
  <si>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</si>
  <si>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</si>
  <si>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</si>
  <si>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</si>
  <si>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</si>
  <si>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</si>
  <si>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</si>
  <si>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</si>
  <si>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</si>
  <si>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</si>
  <si>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</si>
  <si>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</si>
  <si>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</si>
  <si>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</si>
  <si>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</si>
  <si>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</si>
  <si>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</si>
  <si>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</si>
  <si>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</si>
  <si>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</si>
  <si>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</si>
  <si>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</si>
  <si>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</si>
  <si>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</si>
  <si>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</si>
  <si>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</si>
  <si>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</si>
  <si>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</si>
  <si>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</si>
  <si>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</si>
  <si>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</si>
  <si>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</si>
  <si>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</si>
  <si>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</si>
  <si>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</si>
  <si>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</si>
  <si>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</si>
  <si>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</si>
  <si>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</si>
  <si>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</si>
  <si>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</si>
  <si>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</si>
  <si>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</si>
  <si>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</si>
  <si>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</si>
  <si>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</si>
  <si>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</si>
  <si>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</si>
  <si>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</si>
  <si>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</si>
  <si>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</si>
  <si>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</si>
  <si>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</si>
  <si>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</si>
  <si>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</si>
  <si>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</si>
  <si>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</si>
  <si>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</si>
  <si>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</si>
  <si>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</si>
  <si>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</si>
  <si>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</si>
  <si>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</si>
  <si>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</si>
  <si>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</si>
  <si>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</si>
  <si>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</si>
  <si>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</si>
  <si>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</si>
  <si>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</si>
  <si>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</si>
  <si>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</si>
  <si>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</si>
  <si>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</si>
  <si>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</si>
  <si>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</si>
  <si>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</si>
  <si>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</si>
  <si>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</si>
  <si>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</si>
  <si>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</si>
  <si>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</si>
  <si>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</si>
  <si>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</si>
  <si>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</si>
  <si>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</si>
  <si>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</si>
  <si>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</si>
  <si>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</si>
  <si>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</si>
  <si>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</si>
  <si>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</si>
  <si>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</si>
  <si>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</si>
  <si>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</si>
  <si>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</si>
  <si>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</si>
  <si>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</si>
  <si>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</si>
  <si>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</si>
  <si>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</si>
  <si>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</si>
  <si>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</si>
  <si>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</si>
  <si>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</si>
  <si>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</si>
  <si>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</si>
  <si>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</si>
  <si>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</si>
  <si>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</si>
  <si>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</si>
  <si>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</si>
  <si>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</si>
  <si>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</si>
  <si>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</si>
  <si>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</si>
  <si>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</si>
  <si>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</si>
  <si>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</si>
  <si>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</si>
  <si>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</si>
  <si>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</si>
  <si>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</si>
  <si>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</si>
  <si>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</si>
  <si>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</si>
  <si>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</si>
  <si>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</si>
  <si>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</si>
  <si>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</si>
  <si>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</si>
  <si>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</si>
  <si>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</si>
  <si>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</si>
  <si>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</si>
  <si>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</si>
  <si>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</si>
  <si>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</si>
  <si>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</si>
  <si>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</si>
  <si>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</si>
  <si>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</si>
  <si>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</si>
  <si>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</si>
  <si>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</si>
  <si>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</si>
  <si>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</si>
  <si>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</si>
  <si>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</si>
  <si>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</si>
  <si>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</si>
  <si>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</si>
  <si>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</si>
  <si>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</si>
  <si>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</si>
  <si>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</si>
  <si>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</si>
  <si>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</si>
  <si>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</si>
  <si>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</si>
  <si>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</si>
  <si>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</si>
  <si>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</si>
  <si>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</si>
  <si>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</si>
  <si>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</si>
  <si>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</si>
  <si>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</si>
  <si>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</si>
  <si>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</si>
  <si>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</si>
  <si>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</si>
  <si>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</si>
  <si>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</si>
  <si>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</si>
  <si>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</si>
  <si>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</si>
  <si>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</si>
  <si>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</si>
  <si>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</si>
  <si>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</si>
  <si>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</si>
  <si>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</si>
  <si>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</si>
  <si>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</si>
  <si>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</si>
  <si>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</si>
  <si>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</si>
  <si>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</si>
  <si>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Prior period adjsutment to local assessment.</t>
  </si>
  <si>
    <t>Prior period adjustment to interfund balance.</t>
  </si>
  <si>
    <t>ANDOVER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</si>
</sst>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68" sqref="H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19</v>
      </c>
      <c r="C2" s="21">
        <v>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175206.17</f>
        <v>175206.17</v>
      </c>
      <c r="G9" s="18">
        <v>8149.29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271941.43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90182.56</v>
      </c>
      <c r="G12" s="18">
        <v>0</v>
      </c>
      <c r="H12" s="18">
        <v>9049.57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17644</v>
      </c>
      <c r="H13" s="18">
        <v>48300.27</v>
      </c>
      <c r="I13" s="18"/>
      <c r="J13" s="67">
        <f>SUM(I441)</f>
        <v>104426.01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654.1+353.13</f>
        <v>1007.23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778.34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538337.3899999999</v>
      </c>
      <c r="G19" s="41">
        <f>SUM(G9:G18)</f>
        <v>26571.63</v>
      </c>
      <c r="H19" s="41">
        <f>SUM(H9:H18)</f>
        <v>57349.84</v>
      </c>
      <c r="I19" s="41">
        <f>SUM(I9:I18)</f>
        <v>0</v>
      </c>
      <c r="J19" s="41">
        <f>SUM(J9:J18)</f>
        <v>104426.01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36386.57</v>
      </c>
      <c r="G22" s="18">
        <v>20181.310000000001</v>
      </c>
      <c r="H22" s="18">
        <v>42664.25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12465.67</v>
      </c>
      <c r="G24" s="18"/>
      <c r="H24" s="18">
        <v>2607.1999999999998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175686.87</f>
        <v>175686.87</v>
      </c>
      <c r="G28" s="18">
        <v>5611.98</v>
      </c>
      <c r="H28" s="18">
        <v>2965.82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4703.38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63+10857.57-1808</f>
        <v>9112.57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229242.49</v>
      </c>
      <c r="G32" s="41">
        <f>SUM(G22:G31)</f>
        <v>25793.29</v>
      </c>
      <c r="H32" s="41">
        <f>SUM(H22:H31)</f>
        <v>57349.84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778.34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104426.01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309094.90000000002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309094.90000000002</v>
      </c>
      <c r="G50" s="41">
        <f>SUM(G35:G49)</f>
        <v>778.34</v>
      </c>
      <c r="H50" s="41">
        <f>SUM(H35:H49)</f>
        <v>0</v>
      </c>
      <c r="I50" s="41">
        <f>SUM(I35:I49)</f>
        <v>0</v>
      </c>
      <c r="J50" s="41">
        <f>SUM(J35:J49)</f>
        <v>104426.01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538337.39</v>
      </c>
      <c r="G51" s="41">
        <f>G50+G32</f>
        <v>26571.63</v>
      </c>
      <c r="H51" s="41">
        <f>H50+H32</f>
        <v>57349.84</v>
      </c>
      <c r="I51" s="41">
        <f>I50+I32</f>
        <v>0</v>
      </c>
      <c r="J51" s="41">
        <f>J50+J32</f>
        <v>104426.01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2646243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2646243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152.79+254.59</f>
        <v>407.38</v>
      </c>
      <c r="G95" s="18">
        <v>12.99</v>
      </c>
      <c r="H95" s="18"/>
      <c r="I95" s="18"/>
      <c r="J95" s="18">
        <f>104426.01-104395.87</f>
        <v>30.139999999999418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40873.46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263.48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1200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1870.8600000000001</v>
      </c>
      <c r="G110" s="41">
        <f>SUM(G95:G109)</f>
        <v>40886.449999999997</v>
      </c>
      <c r="H110" s="41">
        <f>SUM(H95:H109)</f>
        <v>0</v>
      </c>
      <c r="I110" s="41">
        <f>SUM(I95:I109)</f>
        <v>0</v>
      </c>
      <c r="J110" s="41">
        <f>SUM(J95:J109)</f>
        <v>30.139999999999418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2648113.86</v>
      </c>
      <c r="G111" s="41">
        <f>G59+G110</f>
        <v>40886.449999999997</v>
      </c>
      <c r="H111" s="41">
        <f>H59+H78+H93+H110</f>
        <v>0</v>
      </c>
      <c r="I111" s="41">
        <f>I59+I110</f>
        <v>0</v>
      </c>
      <c r="J111" s="41">
        <f>J59+J110</f>
        <v>30.139999999999418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822697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544033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1366730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3427.17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1174.97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3427.17</v>
      </c>
      <c r="G135" s="41">
        <f>SUM(G122:G134)</f>
        <v>1174.97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1370157.17</v>
      </c>
      <c r="G139" s="41">
        <f>G120+SUM(G135:G136)</f>
        <v>1174.97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41683.72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22575.8</f>
        <v>22575.8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31026.82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64200.68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8394.74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1913.7</v>
      </c>
      <c r="H160" s="18">
        <f>8810.7+1808</f>
        <v>10618.7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8394.74</v>
      </c>
      <c r="G161" s="41">
        <f>SUM(G149:G160)</f>
        <v>32940.519999999997</v>
      </c>
      <c r="H161" s="41">
        <f>SUM(H149:H160)</f>
        <v>139078.90000000002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8394.74</v>
      </c>
      <c r="G168" s="41">
        <f>G146+G161+SUM(G162:G167)</f>
        <v>32940.519999999997</v>
      </c>
      <c r="H168" s="41">
        <f>H146+H161+SUM(H162:H167)</f>
        <v>139078.90000000002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36386.57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36386.57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36386.57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4026665.77</v>
      </c>
      <c r="G192" s="47">
        <f>G111+G139+G168+G191</f>
        <v>111388.51000000001</v>
      </c>
      <c r="H192" s="47">
        <f>H111+H139+H168+H191</f>
        <v>139078.90000000002</v>
      </c>
      <c r="I192" s="47">
        <f>I111+I139+I168+I191</f>
        <v>0</v>
      </c>
      <c r="J192" s="47">
        <f>J111+J139+J191</f>
        <v>30.139999999999418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947382.93</v>
      </c>
      <c r="G196" s="18">
        <v>426373.39</v>
      </c>
      <c r="H196" s="18">
        <f>24967.58</f>
        <v>24967.58</v>
      </c>
      <c r="I196" s="18">
        <v>42966.25</v>
      </c>
      <c r="J196" s="18"/>
      <c r="K196" s="18"/>
      <c r="L196" s="19">
        <f>SUM(F196:K196)</f>
        <v>1441690.1500000001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183215.25+1500</f>
        <v>184715.25</v>
      </c>
      <c r="G197" s="18">
        <f>78158.05+211.57</f>
        <v>78369.62000000001</v>
      </c>
      <c r="H197" s="18">
        <f>171483.08-91294.6+3017.88</f>
        <v>83206.359999999986</v>
      </c>
      <c r="I197" s="18"/>
      <c r="J197" s="18">
        <v>-395</v>
      </c>
      <c r="K197" s="18">
        <v>655</v>
      </c>
      <c r="L197" s="19">
        <f>SUM(F197:K197)</f>
        <v>346551.23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11150</f>
        <v>11150</v>
      </c>
      <c r="G199" s="18">
        <f>1869.99</f>
        <v>1869.99</v>
      </c>
      <c r="H199" s="18">
        <f>2060</f>
        <v>2060</v>
      </c>
      <c r="I199" s="18">
        <f>2936.47</f>
        <v>2936.47</v>
      </c>
      <c r="J199" s="18"/>
      <c r="K199" s="18">
        <f>80</f>
        <v>80</v>
      </c>
      <c r="L199" s="19">
        <f>SUM(F199:K199)</f>
        <v>18096.46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35348.06+40469</f>
        <v>75817.06</v>
      </c>
      <c r="G201" s="18">
        <f>9091.46+25843.86</f>
        <v>34935.32</v>
      </c>
      <c r="H201" s="18">
        <f>2739.74+8335+42063.12+1000+70+21928.85+825.73</f>
        <v>76962.439999999988</v>
      </c>
      <c r="I201" s="18">
        <f>2189.94</f>
        <v>2189.94</v>
      </c>
      <c r="J201" s="18"/>
      <c r="K201" s="18"/>
      <c r="L201" s="19">
        <f t="shared" ref="L201:L207" si="0">SUM(F201:K201)</f>
        <v>189904.76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2500+9724.21</f>
        <v>12224.21</v>
      </c>
      <c r="G202" s="18">
        <f>473.75+10930.41+6874.87</f>
        <v>18279.03</v>
      </c>
      <c r="H202" s="18">
        <f>9713+769</f>
        <v>10482</v>
      </c>
      <c r="I202" s="18">
        <f>4479.25</f>
        <v>4479.25</v>
      </c>
      <c r="J202" s="18"/>
      <c r="K202" s="18"/>
      <c r="L202" s="19">
        <f t="shared" si="0"/>
        <v>45464.49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500+150+1000</f>
        <v>1650</v>
      </c>
      <c r="G203" s="18">
        <f>8+2.18+13.75</f>
        <v>23.93</v>
      </c>
      <c r="H203" s="18">
        <f>3118+5500+3422.2+5988.39+94099</f>
        <v>112127.59</v>
      </c>
      <c r="I203" s="18">
        <f>159.24+364</f>
        <v>523.24</v>
      </c>
      <c r="J203" s="18"/>
      <c r="K203" s="18">
        <f>2943.12</f>
        <v>2943.12</v>
      </c>
      <c r="L203" s="19">
        <f t="shared" si="0"/>
        <v>117267.87999999999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110973.9</f>
        <v>110973.9</v>
      </c>
      <c r="G204" s="18">
        <f>41794.89</f>
        <v>41794.89</v>
      </c>
      <c r="H204" s="18">
        <f>1686.77+3906.83</f>
        <v>5593.6</v>
      </c>
      <c r="I204" s="18">
        <f>1849.83+156.91</f>
        <v>2006.74</v>
      </c>
      <c r="J204" s="18">
        <f>4965.53</f>
        <v>4965.53</v>
      </c>
      <c r="K204" s="18">
        <f>942</f>
        <v>942</v>
      </c>
      <c r="L204" s="19">
        <f t="shared" si="0"/>
        <v>166276.65999999997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70597.67</f>
        <v>70597.67</v>
      </c>
      <c r="G206" s="18">
        <f>18495.26</f>
        <v>18495.259999999998</v>
      </c>
      <c r="H206" s="18">
        <f>53275.42+13442.46+5590</f>
        <v>72307.88</v>
      </c>
      <c r="I206" s="18">
        <f>79930.49+885.8</f>
        <v>80816.290000000008</v>
      </c>
      <c r="J206" s="18"/>
      <c r="K206" s="18"/>
      <c r="L206" s="19">
        <f t="shared" si="0"/>
        <v>242217.1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110528.83+10508.17+38813.03+4036.9+4433.2</f>
        <v>168320.13</v>
      </c>
      <c r="I207" s="18"/>
      <c r="J207" s="18"/>
      <c r="K207" s="18"/>
      <c r="L207" s="19">
        <f t="shared" si="0"/>
        <v>168320.13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1414511.02</v>
      </c>
      <c r="G210" s="41">
        <f t="shared" si="1"/>
        <v>620141.43000000005</v>
      </c>
      <c r="H210" s="41">
        <f t="shared" si="1"/>
        <v>556027.57999999996</v>
      </c>
      <c r="I210" s="41">
        <f t="shared" si="1"/>
        <v>135918.18</v>
      </c>
      <c r="J210" s="41">
        <f t="shared" si="1"/>
        <v>4570.53</v>
      </c>
      <c r="K210" s="41">
        <f t="shared" si="1"/>
        <v>4620.12</v>
      </c>
      <c r="L210" s="41">
        <f t="shared" si="1"/>
        <v>2735788.8600000003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838546.1</v>
      </c>
      <c r="I232" s="18"/>
      <c r="J232" s="18"/>
      <c r="K232" s="18"/>
      <c r="L232" s="19">
        <f>SUM(F232:K232)</f>
        <v>838546.1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91294.6</v>
      </c>
      <c r="I233" s="18"/>
      <c r="J233" s="18"/>
      <c r="K233" s="18"/>
      <c r="L233" s="19">
        <f>SUM(F233:K233)</f>
        <v>91294.6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126680+15603.4</f>
        <v>142283.4</v>
      </c>
      <c r="I243" s="18"/>
      <c r="J243" s="18"/>
      <c r="K243" s="18"/>
      <c r="L243" s="19">
        <f t="shared" si="4"/>
        <v>142283.4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1072124.0999999999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1072124.0999999999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1414511.02</v>
      </c>
      <c r="G256" s="41">
        <f t="shared" si="8"/>
        <v>620141.43000000005</v>
      </c>
      <c r="H256" s="41">
        <f t="shared" si="8"/>
        <v>1628151.6799999997</v>
      </c>
      <c r="I256" s="41">
        <f t="shared" si="8"/>
        <v>135918.18</v>
      </c>
      <c r="J256" s="41">
        <f t="shared" si="8"/>
        <v>4570.53</v>
      </c>
      <c r="K256" s="41">
        <f t="shared" si="8"/>
        <v>4620.12</v>
      </c>
      <c r="L256" s="41">
        <f t="shared" si="8"/>
        <v>3807912.96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36386.57</v>
      </c>
      <c r="L262" s="19">
        <f>SUM(F262:K262)</f>
        <v>36386.57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36386.57</v>
      </c>
      <c r="L269" s="41">
        <f t="shared" si="9"/>
        <v>36386.57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1414511.02</v>
      </c>
      <c r="G270" s="42">
        <f t="shared" si="11"/>
        <v>620141.43000000005</v>
      </c>
      <c r="H270" s="42">
        <f t="shared" si="11"/>
        <v>1628151.6799999997</v>
      </c>
      <c r="I270" s="42">
        <f t="shared" si="11"/>
        <v>135918.18</v>
      </c>
      <c r="J270" s="42">
        <f t="shared" si="11"/>
        <v>4570.53</v>
      </c>
      <c r="K270" s="42">
        <f t="shared" si="11"/>
        <v>41006.69</v>
      </c>
      <c r="L270" s="42">
        <f t="shared" si="11"/>
        <v>3844299.53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f>18825+3634.58</f>
        <v>22459.58</v>
      </c>
      <c r="I275" s="18">
        <f>707.7+678.7+2065.6</f>
        <v>3452</v>
      </c>
      <c r="J275" s="18">
        <f>2123+11748-1808</f>
        <v>12063</v>
      </c>
      <c r="K275" s="18"/>
      <c r="L275" s="19">
        <f>SUM(F275:K275)</f>
        <v>37974.58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14000+500+971.32+7274.25+37433.15</f>
        <v>60178.720000000001</v>
      </c>
      <c r="G276" s="18">
        <f>1530+1737.67+1638.45</f>
        <v>4906.12</v>
      </c>
      <c r="H276" s="18"/>
      <c r="I276" s="18">
        <f>1614.1+8776.5+322</f>
        <v>10712.6</v>
      </c>
      <c r="J276" s="18">
        <f>-237.75-599.42+4047.61</f>
        <v>3210.44</v>
      </c>
      <c r="K276" s="18"/>
      <c r="L276" s="19">
        <f>SUM(F276:K276)</f>
        <v>79007.88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15710+5790+133</f>
        <v>21633</v>
      </c>
      <c r="I280" s="18"/>
      <c r="J280" s="18"/>
      <c r="K280" s="18"/>
      <c r="L280" s="19">
        <f t="shared" ref="L280:L286" si="12">SUM(F280:K280)</f>
        <v>21633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2271.44</f>
        <v>2271.44</v>
      </c>
      <c r="L284" s="19">
        <f t="shared" si="12"/>
        <v>2271.44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60178.720000000001</v>
      </c>
      <c r="G289" s="42">
        <f t="shared" si="13"/>
        <v>4906.12</v>
      </c>
      <c r="H289" s="42">
        <f t="shared" si="13"/>
        <v>44092.58</v>
      </c>
      <c r="I289" s="42">
        <f t="shared" si="13"/>
        <v>14164.6</v>
      </c>
      <c r="J289" s="42">
        <f t="shared" si="13"/>
        <v>15273.44</v>
      </c>
      <c r="K289" s="42">
        <f t="shared" si="13"/>
        <v>2271.44</v>
      </c>
      <c r="L289" s="41">
        <f t="shared" si="13"/>
        <v>140886.90000000002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60178.720000000001</v>
      </c>
      <c r="G337" s="41">
        <f t="shared" si="20"/>
        <v>4906.12</v>
      </c>
      <c r="H337" s="41">
        <f t="shared" si="20"/>
        <v>44092.58</v>
      </c>
      <c r="I337" s="41">
        <f t="shared" si="20"/>
        <v>14164.6</v>
      </c>
      <c r="J337" s="41">
        <f t="shared" si="20"/>
        <v>15273.44</v>
      </c>
      <c r="K337" s="41">
        <f t="shared" si="20"/>
        <v>2271.44</v>
      </c>
      <c r="L337" s="41">
        <f t="shared" si="20"/>
        <v>140886.90000000002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60178.720000000001</v>
      </c>
      <c r="G351" s="41">
        <f>G337</f>
        <v>4906.12</v>
      </c>
      <c r="H351" s="41">
        <f>H337</f>
        <v>44092.58</v>
      </c>
      <c r="I351" s="41">
        <f>I337</f>
        <v>14164.6</v>
      </c>
      <c r="J351" s="41">
        <f>J337</f>
        <v>15273.44</v>
      </c>
      <c r="K351" s="47">
        <f>K337+K350</f>
        <v>2271.44</v>
      </c>
      <c r="L351" s="41">
        <f>L337+L350</f>
        <v>140886.90000000002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30545.94+4234.1</f>
        <v>34780.04</v>
      </c>
      <c r="G357" s="18">
        <f>8494.4+38.36+49.49+2583.85+2134.21</f>
        <v>13300.310000000001</v>
      </c>
      <c r="H357" s="18">
        <v>4868.33</v>
      </c>
      <c r="I357" s="18">
        <f>6513.7+50013.02+1913.7</f>
        <v>58440.419999999991</v>
      </c>
      <c r="J357" s="18"/>
      <c r="K357" s="18"/>
      <c r="L357" s="13">
        <f>SUM(F357:K357)</f>
        <v>111389.1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34780.04</v>
      </c>
      <c r="G361" s="47">
        <f t="shared" si="22"/>
        <v>13300.310000000001</v>
      </c>
      <c r="H361" s="47">
        <f t="shared" si="22"/>
        <v>4868.33</v>
      </c>
      <c r="I361" s="47">
        <f t="shared" si="22"/>
        <v>58440.419999999991</v>
      </c>
      <c r="J361" s="47">
        <f t="shared" si="22"/>
        <v>0</v>
      </c>
      <c r="K361" s="47">
        <f t="shared" si="22"/>
        <v>0</v>
      </c>
      <c r="L361" s="47">
        <f t="shared" si="22"/>
        <v>111389.1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58440.42-6513.7</f>
        <v>51926.720000000001</v>
      </c>
      <c r="G366" s="18"/>
      <c r="H366" s="18"/>
      <c r="I366" s="56">
        <f>SUM(F366:H366)</f>
        <v>51926.720000000001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6513.7</v>
      </c>
      <c r="G367" s="63"/>
      <c r="H367" s="63"/>
      <c r="I367" s="56">
        <f>SUM(F367:H367)</f>
        <v>6513.7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58440.42</v>
      </c>
      <c r="G368" s="47">
        <f>SUM(G366:G367)</f>
        <v>0</v>
      </c>
      <c r="H368" s="47">
        <f>SUM(H366:H367)</f>
        <v>0</v>
      </c>
      <c r="I368" s="47">
        <f>SUM(I366:I367)</f>
        <v>58440.42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30.14</v>
      </c>
      <c r="I396" s="18"/>
      <c r="J396" s="24" t="s">
        <v>289</v>
      </c>
      <c r="K396" s="24" t="s">
        <v>289</v>
      </c>
      <c r="L396" s="56">
        <f t="shared" si="26"/>
        <v>30.14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30.14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30.14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30.14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30.14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f>13005.81+65114.03+26306.17</f>
        <v>104426.01</v>
      </c>
      <c r="H441" s="18"/>
      <c r="I441" s="56">
        <f t="shared" si="33"/>
        <v>104426.01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104426.01</v>
      </c>
      <c r="H445" s="13">
        <f>SUM(H438:H444)</f>
        <v>0</v>
      </c>
      <c r="I445" s="13">
        <f>SUM(I438:I444)</f>
        <v>104426.01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104426.01</v>
      </c>
      <c r="H458" s="18"/>
      <c r="I458" s="56">
        <f t="shared" si="34"/>
        <v>104426.01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104426.01</v>
      </c>
      <c r="H459" s="83">
        <f>SUM(H453:H458)</f>
        <v>0</v>
      </c>
      <c r="I459" s="83">
        <f>SUM(I453:I458)</f>
        <v>104426.01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104426.01</v>
      </c>
      <c r="H460" s="42">
        <f>H451+H459</f>
        <v>0</v>
      </c>
      <c r="I460" s="42">
        <f>I451+I459</f>
        <v>104426.01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164686.66</v>
      </c>
      <c r="G464" s="18">
        <v>778.93</v>
      </c>
      <c r="H464" s="18">
        <v>0</v>
      </c>
      <c r="I464" s="18"/>
      <c r="J464" s="18">
        <v>104395.87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4026665.77</v>
      </c>
      <c r="G467" s="18">
        <v>111388.51</v>
      </c>
      <c r="H467" s="18">
        <v>139078.9</v>
      </c>
      <c r="I467" s="18"/>
      <c r="J467" s="18">
        <v>30.14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v>1808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4026665.77</v>
      </c>
      <c r="G469" s="53">
        <f>SUM(G467:G468)</f>
        <v>111388.51</v>
      </c>
      <c r="H469" s="53">
        <f>SUM(H467:H468)</f>
        <v>140886.9</v>
      </c>
      <c r="I469" s="53">
        <f>SUM(I467:I468)</f>
        <v>0</v>
      </c>
      <c r="J469" s="53">
        <f>SUM(J467:J468)</f>
        <v>30.14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3844299.53</v>
      </c>
      <c r="G471" s="18">
        <v>111389.1</v>
      </c>
      <c r="H471" s="18">
        <f>142694.9-1808</f>
        <v>140886.9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37958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3882257.53</v>
      </c>
      <c r="G473" s="53">
        <f>SUM(G471:G472)</f>
        <v>111389.1</v>
      </c>
      <c r="H473" s="53">
        <f>SUM(H471:H472)</f>
        <v>140886.9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309094.90000000037</v>
      </c>
      <c r="G475" s="53">
        <f>(G464+G469)- G473</f>
        <v>778.33999999998196</v>
      </c>
      <c r="H475" s="53">
        <f>(H464+H469)- H473</f>
        <v>0</v>
      </c>
      <c r="I475" s="53">
        <f>(I464+I469)- I473</f>
        <v>0</v>
      </c>
      <c r="J475" s="53">
        <f>(J464+J469)- J473</f>
        <v>104426.01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74">
        <v>244893.97</v>
      </c>
      <c r="G520" s="274">
        <v>83275.740000000005</v>
      </c>
      <c r="H520" s="274">
        <v>83206.359999999986</v>
      </c>
      <c r="I520" s="274">
        <v>10712.6</v>
      </c>
      <c r="J520" s="274">
        <v>2815.44</v>
      </c>
      <c r="K520" s="274">
        <v>655</v>
      </c>
      <c r="L520" s="88">
        <f>SUM(F520:K520)</f>
        <v>425559.11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274"/>
      <c r="G521" s="274"/>
      <c r="H521" s="274"/>
      <c r="I521" s="274"/>
      <c r="J521" s="274"/>
      <c r="K521" s="274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4">
        <v>0</v>
      </c>
      <c r="G522" s="274">
        <v>0</v>
      </c>
      <c r="H522" s="274">
        <v>91294.6</v>
      </c>
      <c r="I522" s="274">
        <v>0</v>
      </c>
      <c r="J522" s="274">
        <v>0</v>
      </c>
      <c r="K522" s="274">
        <v>0</v>
      </c>
      <c r="L522" s="88">
        <f>SUM(F522:K522)</f>
        <v>91294.6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244893.97</v>
      </c>
      <c r="G523" s="108">
        <f t="shared" ref="G523:L523" si="36">SUM(G520:G522)</f>
        <v>83275.740000000005</v>
      </c>
      <c r="H523" s="108">
        <f t="shared" si="36"/>
        <v>174500.96</v>
      </c>
      <c r="I523" s="108">
        <f t="shared" si="36"/>
        <v>10712.6</v>
      </c>
      <c r="J523" s="108">
        <f t="shared" si="36"/>
        <v>2815.44</v>
      </c>
      <c r="K523" s="108">
        <f t="shared" si="36"/>
        <v>655</v>
      </c>
      <c r="L523" s="89">
        <f t="shared" si="36"/>
        <v>516853.70999999996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275">
        <v>94896.97</v>
      </c>
      <c r="I525" s="18"/>
      <c r="J525" s="18"/>
      <c r="K525" s="18"/>
      <c r="L525" s="88">
        <f>SUM(F525:K525)</f>
        <v>94896.97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94896.97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94896.97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276">
        <v>825.73</v>
      </c>
      <c r="I530" s="18"/>
      <c r="J530" s="18"/>
      <c r="K530" s="18"/>
      <c r="L530" s="88">
        <f>SUM(F530:K530)</f>
        <v>825.73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825.73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825.73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277">
        <v>3422.2</v>
      </c>
      <c r="I535" s="18"/>
      <c r="J535" s="18"/>
      <c r="K535" s="18"/>
      <c r="L535" s="88">
        <f>SUM(F535:K535)</f>
        <v>3422.2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3422.2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3422.2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278">
        <v>38813.03</v>
      </c>
      <c r="I540" s="18"/>
      <c r="J540" s="18"/>
      <c r="K540" s="18"/>
      <c r="L540" s="88">
        <f>SUM(F540:K540)</f>
        <v>38813.03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27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278">
        <v>15603.4</v>
      </c>
      <c r="I542" s="18"/>
      <c r="J542" s="18"/>
      <c r="K542" s="18"/>
      <c r="L542" s="88">
        <f>SUM(F542:K542)</f>
        <v>15603.4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54416.43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54416.43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244893.97</v>
      </c>
      <c r="G544" s="89">
        <f t="shared" ref="G544:L544" si="41">G523+G528+G533+G538+G543</f>
        <v>83275.740000000005</v>
      </c>
      <c r="H544" s="89">
        <f t="shared" si="41"/>
        <v>328062.28999999998</v>
      </c>
      <c r="I544" s="89">
        <f t="shared" si="41"/>
        <v>10712.6</v>
      </c>
      <c r="J544" s="89">
        <f t="shared" si="41"/>
        <v>2815.44</v>
      </c>
      <c r="K544" s="89">
        <f t="shared" si="41"/>
        <v>655</v>
      </c>
      <c r="L544" s="89">
        <f t="shared" si="41"/>
        <v>670415.03999999992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425559.11</v>
      </c>
      <c r="G548" s="87">
        <f>L525</f>
        <v>94896.97</v>
      </c>
      <c r="H548" s="87">
        <f>L530</f>
        <v>825.73</v>
      </c>
      <c r="I548" s="87">
        <f>L535</f>
        <v>3422.2</v>
      </c>
      <c r="J548" s="87">
        <f>L540</f>
        <v>38813.03</v>
      </c>
      <c r="K548" s="87">
        <f>SUM(F548:J548)</f>
        <v>563517.03999999992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91294.6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15603.4</v>
      </c>
      <c r="K550" s="87">
        <f>SUM(F550:J550)</f>
        <v>106898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516853.70999999996</v>
      </c>
      <c r="G551" s="89">
        <f t="shared" si="42"/>
        <v>94896.97</v>
      </c>
      <c r="H551" s="89">
        <f t="shared" si="42"/>
        <v>825.73</v>
      </c>
      <c r="I551" s="89">
        <f t="shared" si="42"/>
        <v>3422.2</v>
      </c>
      <c r="J551" s="89">
        <f t="shared" si="42"/>
        <v>54416.43</v>
      </c>
      <c r="K551" s="89">
        <f t="shared" si="42"/>
        <v>670415.03999999992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838546.1</v>
      </c>
      <c r="I574" s="87">
        <f>SUM(F574:H574)</f>
        <v>838546.1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79047.360000000001</v>
      </c>
      <c r="G578" s="18"/>
      <c r="H578" s="18">
        <v>91294.6</v>
      </c>
      <c r="I578" s="87">
        <f t="shared" si="47"/>
        <v>170341.96000000002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110528.83+10508.17</f>
        <v>121037</v>
      </c>
      <c r="I590" s="18"/>
      <c r="J590" s="18">
        <v>126680</v>
      </c>
      <c r="K590" s="104">
        <f t="shared" ref="K590:K596" si="48">SUM(H590:J590)</f>
        <v>247717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38813.03</v>
      </c>
      <c r="I591" s="18"/>
      <c r="J591" s="18">
        <v>15603.4</v>
      </c>
      <c r="K591" s="104">
        <f t="shared" si="48"/>
        <v>54416.43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4036.9</v>
      </c>
      <c r="I593" s="18"/>
      <c r="J593" s="18"/>
      <c r="K593" s="104">
        <f t="shared" si="48"/>
        <v>4036.9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4433.2</v>
      </c>
      <c r="I594" s="18"/>
      <c r="J594" s="18"/>
      <c r="K594" s="104">
        <f t="shared" si="48"/>
        <v>4433.2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168320.13</v>
      </c>
      <c r="I597" s="108">
        <f>SUM(I590:I596)</f>
        <v>0</v>
      </c>
      <c r="J597" s="108">
        <f>SUM(J590:J596)</f>
        <v>142283.4</v>
      </c>
      <c r="K597" s="108">
        <f>SUM(K590:K596)</f>
        <v>310603.53000000003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4570.53+15273.44</f>
        <v>19843.97</v>
      </c>
      <c r="I603" s="18"/>
      <c r="J603" s="18"/>
      <c r="K603" s="104">
        <f>SUM(H603:J603)</f>
        <v>19843.97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19843.97</v>
      </c>
      <c r="I604" s="108">
        <f>SUM(I601:I603)</f>
        <v>0</v>
      </c>
      <c r="J604" s="108">
        <f>SUM(J601:J603)</f>
        <v>0</v>
      </c>
      <c r="K604" s="108">
        <f>SUM(K601:K603)</f>
        <v>19843.97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538337.3899999999</v>
      </c>
      <c r="H616" s="109">
        <f>SUM(F51)</f>
        <v>538337.39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26571.63</v>
      </c>
      <c r="H617" s="109">
        <f>SUM(G51)</f>
        <v>26571.63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57349.84</v>
      </c>
      <c r="H618" s="109">
        <f>SUM(H51)</f>
        <v>57349.84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104426.01</v>
      </c>
      <c r="H620" s="109">
        <f>SUM(J51)</f>
        <v>104426.01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309094.90000000002</v>
      </c>
      <c r="H621" s="109">
        <f>F475</f>
        <v>309094.90000000037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778.34</v>
      </c>
      <c r="H622" s="109">
        <f>G475</f>
        <v>778.33999999998196</v>
      </c>
      <c r="I622" s="121" t="s">
        <v>102</v>
      </c>
      <c r="J622" s="109">
        <f t="shared" si="50"/>
        <v>1.8076207197736949E-11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104426.01</v>
      </c>
      <c r="H625" s="109">
        <f>J475</f>
        <v>104426.01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4026665.77</v>
      </c>
      <c r="H626" s="104">
        <f>SUM(F467)</f>
        <v>4026665.77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111388.51000000001</v>
      </c>
      <c r="H627" s="104">
        <f>SUM(G467)</f>
        <v>111388.51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139078.90000000002</v>
      </c>
      <c r="H628" s="104">
        <f>SUM(H467)</f>
        <v>139078.9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30.139999999999418</v>
      </c>
      <c r="H630" s="104">
        <f>SUM(J467)</f>
        <v>30.14</v>
      </c>
      <c r="I630" s="140" t="s">
        <v>110</v>
      </c>
      <c r="J630" s="109">
        <f>G630-H630</f>
        <v>-5.8264504332328215E-13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3844299.53</v>
      </c>
      <c r="H631" s="104">
        <f>SUM(F471)</f>
        <v>3844299.53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140886.90000000002</v>
      </c>
      <c r="H632" s="104">
        <f>SUM(H471)</f>
        <v>140886.9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58440.419999999991</v>
      </c>
      <c r="H633" s="104">
        <f>I368</f>
        <v>58440.42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111389.1</v>
      </c>
      <c r="H634" s="104">
        <f>SUM(G471)</f>
        <v>111389.1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30.14</v>
      </c>
      <c r="H636" s="164">
        <f>SUM(J467)</f>
        <v>30.14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104426.01</v>
      </c>
      <c r="H639" s="104">
        <f>SUM(G460)</f>
        <v>104426.01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104426.01</v>
      </c>
      <c r="H641" s="104">
        <f>SUM(I460)</f>
        <v>104426.01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30.139999999999418</v>
      </c>
      <c r="H643" s="104">
        <f>H407</f>
        <v>30.14</v>
      </c>
      <c r="I643" s="140" t="s">
        <v>481</v>
      </c>
      <c r="J643" s="109">
        <f t="shared" si="50"/>
        <v>-5.8264504332328215E-13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30.139999999999418</v>
      </c>
      <c r="H645" s="104">
        <f>L407</f>
        <v>30.14</v>
      </c>
      <c r="I645" s="140" t="s">
        <v>478</v>
      </c>
      <c r="J645" s="109">
        <f t="shared" si="50"/>
        <v>-5.8264504332328215E-13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310603.53000000003</v>
      </c>
      <c r="H646" s="104">
        <f>L207+L225+L243</f>
        <v>310603.53000000003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19843.97</v>
      </c>
      <c r="H647" s="104">
        <f>(J256+J337)-(J254+J335)</f>
        <v>19843.97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168320.13</v>
      </c>
      <c r="H648" s="104">
        <f>H597</f>
        <v>168320.13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142283.4</v>
      </c>
      <c r="H650" s="104">
        <f>J597</f>
        <v>142283.4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36386.57</v>
      </c>
      <c r="H651" s="104">
        <f>K262+K344</f>
        <v>36386.57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2988064.8600000003</v>
      </c>
      <c r="G659" s="19">
        <f>(L228+L308+L358)</f>
        <v>0</v>
      </c>
      <c r="H659" s="19">
        <f>(L246+L327+L359)</f>
        <v>1072124.0999999999</v>
      </c>
      <c r="I659" s="19">
        <f>SUM(F659:H659)</f>
        <v>4060188.96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40873.46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40873.46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168320.13</v>
      </c>
      <c r="G661" s="19">
        <f>(L225+L305)-(J225+J305)</f>
        <v>0</v>
      </c>
      <c r="H661" s="19">
        <f>(L243+L324)-(J243+J324)</f>
        <v>142283.4</v>
      </c>
      <c r="I661" s="19">
        <f>SUM(F661:H661)</f>
        <v>310603.53000000003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98891.33</v>
      </c>
      <c r="G662" s="199">
        <f>SUM(G574:G586)+SUM(I601:I603)+L611</f>
        <v>0</v>
      </c>
      <c r="H662" s="199">
        <f>SUM(H574:H586)+SUM(J601:J603)+L612</f>
        <v>929840.7</v>
      </c>
      <c r="I662" s="19">
        <f>SUM(F662:H662)</f>
        <v>1028732.0299999999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2679979.9400000004</v>
      </c>
      <c r="G663" s="19">
        <f>G659-SUM(G660:G662)</f>
        <v>0</v>
      </c>
      <c r="H663" s="19">
        <f>H659-SUM(H660:H662)</f>
        <v>0</v>
      </c>
      <c r="I663" s="19">
        <f>I659-SUM(I660:I662)</f>
        <v>2679979.94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225.47</v>
      </c>
      <c r="G664" s="248"/>
      <c r="H664" s="248"/>
      <c r="I664" s="19">
        <f>SUM(F664:H664)</f>
        <v>225.47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11886.19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11886.19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11886.19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11886.19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5" workbookViewId="0">
      <selection activeCell="B18" sqref="B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ANDOVER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947382.93</v>
      </c>
      <c r="C9" s="229">
        <f>'DOE25'!G196+'DOE25'!G214+'DOE25'!G232+'DOE25'!G275+'DOE25'!G294+'DOE25'!G313</f>
        <v>426373.39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>
        <v>896371.28</v>
      </c>
      <c r="C11" s="240">
        <v>396527.25</v>
      </c>
    </row>
    <row r="12" spans="1:3" x14ac:dyDescent="0.2">
      <c r="A12" t="s">
        <v>781</v>
      </c>
      <c r="B12" s="240">
        <v>51011.65</v>
      </c>
      <c r="C12" s="240">
        <v>29846.14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947382.93</v>
      </c>
      <c r="C13" s="231">
        <f>SUM(C10:C12)</f>
        <v>426373.39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244893.97</v>
      </c>
      <c r="C18" s="229">
        <f>'DOE25'!G197+'DOE25'!G215+'DOE25'!G233+'DOE25'!G276+'DOE25'!G295+'DOE25'!G314</f>
        <v>83275.740000000005</v>
      </c>
    </row>
    <row r="19" spans="1:3" x14ac:dyDescent="0.2">
      <c r="A19" t="s">
        <v>779</v>
      </c>
      <c r="B19" s="240">
        <f>48173+63419+54182+60178.72</f>
        <v>225952.72</v>
      </c>
      <c r="C19" s="240">
        <v>53296.47</v>
      </c>
    </row>
    <row r="20" spans="1:3" x14ac:dyDescent="0.2">
      <c r="A20" t="s">
        <v>780</v>
      </c>
      <c r="B20" s="240">
        <f>17441.25+1500</f>
        <v>18941.25</v>
      </c>
      <c r="C20" s="240">
        <v>29979.27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244893.97</v>
      </c>
      <c r="C22" s="231">
        <f>SUM(C19:C21)</f>
        <v>83275.740000000005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11150</v>
      </c>
      <c r="C36" s="235">
        <f>'DOE25'!G199+'DOE25'!G217+'DOE25'!G235+'DOE25'!G278+'DOE25'!G297+'DOE25'!G316</f>
        <v>1869.99</v>
      </c>
    </row>
    <row r="37" spans="1:3" x14ac:dyDescent="0.2">
      <c r="A37" t="s">
        <v>779</v>
      </c>
      <c r="B37" s="240">
        <v>11150</v>
      </c>
      <c r="C37" s="240">
        <v>1869.99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11150</v>
      </c>
      <c r="C40" s="231">
        <f>SUM(C37:C39)</f>
        <v>1869.99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>ANDOVER SCHOOL DISTRICT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2736178.54</v>
      </c>
      <c r="D5" s="20">
        <f>SUM('DOE25'!L196:L199)+SUM('DOE25'!L214:L217)+SUM('DOE25'!L232:L235)-F5-G5</f>
        <v>2735838.54</v>
      </c>
      <c r="E5" s="243"/>
      <c r="F5" s="255">
        <f>SUM('DOE25'!J196:J199)+SUM('DOE25'!J214:J217)+SUM('DOE25'!J232:J235)</f>
        <v>-395</v>
      </c>
      <c r="G5" s="53">
        <f>SUM('DOE25'!K196:K199)+SUM('DOE25'!K214:K217)+SUM('DOE25'!K232:K235)</f>
        <v>735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189904.76</v>
      </c>
      <c r="D6" s="20">
        <f>'DOE25'!L201+'DOE25'!L219+'DOE25'!L237-F6-G6</f>
        <v>189904.76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45464.49</v>
      </c>
      <c r="D7" s="20">
        <f>'DOE25'!L202+'DOE25'!L220+'DOE25'!L238-F7-G7</f>
        <v>45464.49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71379.929999999993</v>
      </c>
      <c r="D8" s="243"/>
      <c r="E8" s="20">
        <f>'DOE25'!L203+'DOE25'!L221+'DOE25'!L239-F8-G8-D9-D11</f>
        <v>68436.81</v>
      </c>
      <c r="F8" s="255">
        <f>'DOE25'!J203+'DOE25'!J221+'DOE25'!J239</f>
        <v>0</v>
      </c>
      <c r="G8" s="53">
        <f>'DOE25'!K203+'DOE25'!K221+'DOE25'!K239</f>
        <v>2943.12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6728.36</v>
      </c>
      <c r="D9" s="244">
        <f>500+8+3118+159.24+2943.12</f>
        <v>6728.36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39159.589999999997</v>
      </c>
      <c r="D11" s="244">
        <v>39159.589999999997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166276.65999999997</v>
      </c>
      <c r="D12" s="20">
        <f>'DOE25'!L204+'DOE25'!L222+'DOE25'!L240-F12-G12</f>
        <v>160369.12999999998</v>
      </c>
      <c r="E12" s="243"/>
      <c r="F12" s="255">
        <f>'DOE25'!J204+'DOE25'!J222+'DOE25'!J240</f>
        <v>4965.53</v>
      </c>
      <c r="G12" s="53">
        <f>'DOE25'!K204+'DOE25'!K222+'DOE25'!K240</f>
        <v>942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242217.1</v>
      </c>
      <c r="D14" s="20">
        <f>'DOE25'!L206+'DOE25'!L224+'DOE25'!L242-F14-G14</f>
        <v>242217.1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310603.53000000003</v>
      </c>
      <c r="D15" s="20">
        <f>'DOE25'!L207+'DOE25'!L225+'DOE25'!L243-F15-G15</f>
        <v>310603.53000000003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59462.380000000005</v>
      </c>
      <c r="D29" s="20">
        <f>'DOE25'!L357+'DOE25'!L358+'DOE25'!L359-'DOE25'!I366-F29-G29</f>
        <v>59462.380000000005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140886.90000000002</v>
      </c>
      <c r="D31" s="20">
        <f>'DOE25'!L289+'DOE25'!L308+'DOE25'!L327+'DOE25'!L332+'DOE25'!L333+'DOE25'!L334-F31-G31</f>
        <v>123342.02000000002</v>
      </c>
      <c r="E31" s="243"/>
      <c r="F31" s="255">
        <f>'DOE25'!J289+'DOE25'!J308+'DOE25'!J327+'DOE25'!J332+'DOE25'!J333+'DOE25'!J334</f>
        <v>15273.44</v>
      </c>
      <c r="G31" s="53">
        <f>'DOE25'!K289+'DOE25'!K308+'DOE25'!K327+'DOE25'!K332+'DOE25'!K333+'DOE25'!K334</f>
        <v>2271.44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3913089.9</v>
      </c>
      <c r="E33" s="246">
        <f>SUM(E5:E31)</f>
        <v>73936.81</v>
      </c>
      <c r="F33" s="246">
        <f>SUM(F5:F31)</f>
        <v>19843.97</v>
      </c>
      <c r="G33" s="246">
        <f>SUM(G5:G31)</f>
        <v>6891.5599999999995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73936.81</v>
      </c>
      <c r="E35" s="249"/>
    </row>
    <row r="36" spans="2:8" ht="12" thickTop="1" x14ac:dyDescent="0.2">
      <c r="B36" t="s">
        <v>815</v>
      </c>
      <c r="D36" s="20">
        <f>D33</f>
        <v>3913089.9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18" activePane="bottomLeft" state="frozen"/>
      <selection pane="bottomLeft" activeCell="C12" sqref="C1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175206.17</v>
      </c>
      <c r="D8" s="95">
        <f>'DOE25'!G9</f>
        <v>8149.29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271941.43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90182.56</v>
      </c>
      <c r="D11" s="95">
        <f>'DOE25'!G12</f>
        <v>0</v>
      </c>
      <c r="E11" s="95">
        <f>'DOE25'!H12</f>
        <v>9049.57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17644</v>
      </c>
      <c r="E12" s="95">
        <f>'DOE25'!H13</f>
        <v>48300.27</v>
      </c>
      <c r="F12" s="95">
        <f>'DOE25'!I13</f>
        <v>0</v>
      </c>
      <c r="G12" s="95">
        <f>'DOE25'!J13</f>
        <v>104426.01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1007.23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778.34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538337.3899999999</v>
      </c>
      <c r="D18" s="41">
        <f>SUM(D8:D17)</f>
        <v>26571.63</v>
      </c>
      <c r="E18" s="41">
        <f>SUM(E8:E17)</f>
        <v>57349.84</v>
      </c>
      <c r="F18" s="41">
        <f>SUM(F8:F17)</f>
        <v>0</v>
      </c>
      <c r="G18" s="41">
        <f>SUM(G8:G17)</f>
        <v>104426.01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36386.57</v>
      </c>
      <c r="D21" s="95">
        <f>'DOE25'!G22</f>
        <v>20181.310000000001</v>
      </c>
      <c r="E21" s="95">
        <f>'DOE25'!H22</f>
        <v>42664.25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12465.67</v>
      </c>
      <c r="D23" s="95">
        <f>'DOE25'!G24</f>
        <v>0</v>
      </c>
      <c r="E23" s="95">
        <f>'DOE25'!H24</f>
        <v>2607.1999999999998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175686.87</v>
      </c>
      <c r="D27" s="95">
        <f>'DOE25'!G28</f>
        <v>5611.98</v>
      </c>
      <c r="E27" s="95">
        <f>'DOE25'!H28</f>
        <v>2965.82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4703.38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9112.57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229242.49</v>
      </c>
      <c r="D31" s="41">
        <f>SUM(D21:D30)</f>
        <v>25793.29</v>
      </c>
      <c r="E31" s="41">
        <f>SUM(E21:E30)</f>
        <v>57349.84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778.34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104426.01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309094.90000000002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309094.90000000002</v>
      </c>
      <c r="D49" s="41">
        <f>SUM(D34:D48)</f>
        <v>778.34</v>
      </c>
      <c r="E49" s="41">
        <f>SUM(E34:E48)</f>
        <v>0</v>
      </c>
      <c r="F49" s="41">
        <f>SUM(F34:F48)</f>
        <v>0</v>
      </c>
      <c r="G49" s="41">
        <f>SUM(G34:G48)</f>
        <v>104426.01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538337.39</v>
      </c>
      <c r="D50" s="41">
        <f>D49+D31</f>
        <v>26571.63</v>
      </c>
      <c r="E50" s="41">
        <f>E49+E31</f>
        <v>57349.84</v>
      </c>
      <c r="F50" s="41">
        <f>F49+F31</f>
        <v>0</v>
      </c>
      <c r="G50" s="41">
        <f>G49+G31</f>
        <v>104426.01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2646243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407.38</v>
      </c>
      <c r="D58" s="95">
        <f>'DOE25'!G95</f>
        <v>12.99</v>
      </c>
      <c r="E58" s="95">
        <f>'DOE25'!H95</f>
        <v>0</v>
      </c>
      <c r="F58" s="95">
        <f>'DOE25'!I95</f>
        <v>0</v>
      </c>
      <c r="G58" s="95">
        <f>'DOE25'!J95</f>
        <v>30.139999999999418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40873.46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1463.48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1870.8600000000001</v>
      </c>
      <c r="D61" s="130">
        <f>SUM(D56:D60)</f>
        <v>40886.449999999997</v>
      </c>
      <c r="E61" s="130">
        <f>SUM(E56:E60)</f>
        <v>0</v>
      </c>
      <c r="F61" s="130">
        <f>SUM(F56:F60)</f>
        <v>0</v>
      </c>
      <c r="G61" s="130">
        <f>SUM(G56:G60)</f>
        <v>30.139999999999418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2648113.86</v>
      </c>
      <c r="D62" s="22">
        <f>D55+D61</f>
        <v>40886.449999999997</v>
      </c>
      <c r="E62" s="22">
        <f>E55+E61</f>
        <v>0</v>
      </c>
      <c r="F62" s="22">
        <f>F55+F61</f>
        <v>0</v>
      </c>
      <c r="G62" s="22">
        <f>G55+G61</f>
        <v>30.139999999999418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822697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544033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1366730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3427.17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1174.97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3427.17</v>
      </c>
      <c r="D77" s="130">
        <f>SUM(D71:D76)</f>
        <v>1174.97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1370157.17</v>
      </c>
      <c r="D80" s="130">
        <f>SUM(D78:D79)+D77+D69</f>
        <v>1174.97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8394.74</v>
      </c>
      <c r="D87" s="95">
        <f>SUM('DOE25'!G152:G160)</f>
        <v>32940.519999999997</v>
      </c>
      <c r="E87" s="95">
        <f>SUM('DOE25'!H152:H160)</f>
        <v>139078.90000000002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8394.74</v>
      </c>
      <c r="D90" s="131">
        <f>SUM(D84:D89)</f>
        <v>32940.519999999997</v>
      </c>
      <c r="E90" s="131">
        <f>SUM(E84:E89)</f>
        <v>139078.90000000002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36386.57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36386.57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4026665.77</v>
      </c>
      <c r="D103" s="86">
        <f>D62+D80+D90+D102</f>
        <v>111388.51000000001</v>
      </c>
      <c r="E103" s="86">
        <f>E62+E80+E90+E102</f>
        <v>139078.90000000002</v>
      </c>
      <c r="F103" s="86">
        <f>F62+F80+F90+F102</f>
        <v>0</v>
      </c>
      <c r="G103" s="86">
        <f>G62+G80+G102</f>
        <v>30.139999999999418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2280236.25</v>
      </c>
      <c r="D108" s="24" t="s">
        <v>289</v>
      </c>
      <c r="E108" s="95">
        <f>('DOE25'!L275)+('DOE25'!L294)+('DOE25'!L313)</f>
        <v>37974.58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437845.82999999996</v>
      </c>
      <c r="D109" s="24" t="s">
        <v>289</v>
      </c>
      <c r="E109" s="95">
        <f>('DOE25'!L276)+('DOE25'!L295)+('DOE25'!L314)</f>
        <v>79007.88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18096.46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2736178.54</v>
      </c>
      <c r="D114" s="86">
        <f>SUM(D108:D113)</f>
        <v>0</v>
      </c>
      <c r="E114" s="86">
        <f>SUM(E108:E113)</f>
        <v>116982.46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189904.76</v>
      </c>
      <c r="D117" s="24" t="s">
        <v>289</v>
      </c>
      <c r="E117" s="95">
        <f>+('DOE25'!L280)+('DOE25'!L299)+('DOE25'!L318)</f>
        <v>21633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45464.49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117267.87999999999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166276.65999999997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2271.44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242217.1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310603.53000000003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111389.1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1071734.42</v>
      </c>
      <c r="D127" s="86">
        <f>SUM(D117:D126)</f>
        <v>111389.1</v>
      </c>
      <c r="E127" s="86">
        <f>SUM(E117:E126)</f>
        <v>23904.44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36386.57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30.14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-30.14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36386.57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3844299.53</v>
      </c>
      <c r="D144" s="86">
        <f>(D114+D127+D143)</f>
        <v>111389.1</v>
      </c>
      <c r="E144" s="86">
        <f>(E114+E127+E143)</f>
        <v>140886.9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ANDOVER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11886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11886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2318211</v>
      </c>
      <c r="D10" s="182">
        <f>ROUND((C10/$C$28)*100,1)</f>
        <v>57.7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516854</v>
      </c>
      <c r="D11" s="182">
        <f>ROUND((C11/$C$28)*100,1)</f>
        <v>12.9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18096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211538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45464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117268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166277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2271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242217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310604</v>
      </c>
      <c r="D21" s="182">
        <f t="shared" si="0"/>
        <v>7.7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70515.540000000008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4019315.54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4019315.54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2646243</v>
      </c>
      <c r="D35" s="182">
        <f t="shared" ref="D35:D40" si="1">ROUND((C35/$C$41)*100,1)</f>
        <v>63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1913.9900000002235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1366730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4602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180414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4199902.99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ANDOVER SCHOOL DISTRICT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8"/>
      <c r="B4" s="21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1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1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1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  <c r="N32" s="223"/>
      <c r="O32" s="223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8"/>
      <c r="AB32" s="219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1"/>
      <c r="AN32" s="218"/>
      <c r="AO32" s="219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1"/>
      <c r="BA32" s="218"/>
      <c r="BB32" s="219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1"/>
      <c r="BN32" s="218"/>
      <c r="BO32" s="219"/>
      <c r="BP32" s="290"/>
      <c r="BQ32" s="290"/>
      <c r="BR32" s="290"/>
      <c r="BS32" s="290"/>
      <c r="BT32" s="290"/>
      <c r="BU32" s="290"/>
      <c r="BV32" s="290"/>
      <c r="BW32" s="290"/>
      <c r="BX32" s="290"/>
      <c r="BY32" s="290"/>
      <c r="BZ32" s="291"/>
      <c r="CA32" s="218"/>
      <c r="CB32" s="219"/>
      <c r="CC32" s="290"/>
      <c r="CD32" s="290"/>
      <c r="CE32" s="290"/>
      <c r="CF32" s="290"/>
      <c r="CG32" s="290"/>
      <c r="CH32" s="290"/>
      <c r="CI32" s="290"/>
      <c r="CJ32" s="290"/>
      <c r="CK32" s="290"/>
      <c r="CL32" s="290"/>
      <c r="CM32" s="291"/>
      <c r="CN32" s="218"/>
      <c r="CO32" s="219"/>
      <c r="CP32" s="290"/>
      <c r="CQ32" s="290"/>
      <c r="CR32" s="290"/>
      <c r="CS32" s="290"/>
      <c r="CT32" s="290"/>
      <c r="CU32" s="290"/>
      <c r="CV32" s="290"/>
      <c r="CW32" s="290"/>
      <c r="CX32" s="290"/>
      <c r="CY32" s="290"/>
      <c r="CZ32" s="291"/>
      <c r="DA32" s="218"/>
      <c r="DB32" s="219"/>
      <c r="DC32" s="290"/>
      <c r="DD32" s="290"/>
      <c r="DE32" s="290"/>
      <c r="DF32" s="290"/>
      <c r="DG32" s="290"/>
      <c r="DH32" s="290"/>
      <c r="DI32" s="290"/>
      <c r="DJ32" s="290"/>
      <c r="DK32" s="290"/>
      <c r="DL32" s="290"/>
      <c r="DM32" s="291"/>
      <c r="DN32" s="218"/>
      <c r="DO32" s="219"/>
      <c r="DP32" s="290"/>
      <c r="DQ32" s="290"/>
      <c r="DR32" s="290"/>
      <c r="DS32" s="290"/>
      <c r="DT32" s="290"/>
      <c r="DU32" s="290"/>
      <c r="DV32" s="290"/>
      <c r="DW32" s="290"/>
      <c r="DX32" s="290"/>
      <c r="DY32" s="290"/>
      <c r="DZ32" s="291"/>
      <c r="EA32" s="218"/>
      <c r="EB32" s="219"/>
      <c r="EC32" s="290"/>
      <c r="ED32" s="290"/>
      <c r="EE32" s="290"/>
      <c r="EF32" s="290"/>
      <c r="EG32" s="290"/>
      <c r="EH32" s="290"/>
      <c r="EI32" s="290"/>
      <c r="EJ32" s="290"/>
      <c r="EK32" s="290"/>
      <c r="EL32" s="290"/>
      <c r="EM32" s="291"/>
      <c r="EN32" s="218"/>
      <c r="EO32" s="219"/>
      <c r="EP32" s="290"/>
      <c r="EQ32" s="290"/>
      <c r="ER32" s="290"/>
      <c r="ES32" s="290"/>
      <c r="ET32" s="290"/>
      <c r="EU32" s="290"/>
      <c r="EV32" s="290"/>
      <c r="EW32" s="290"/>
      <c r="EX32" s="290"/>
      <c r="EY32" s="290"/>
      <c r="EZ32" s="291"/>
      <c r="FA32" s="218"/>
      <c r="FB32" s="219"/>
      <c r="FC32" s="290"/>
      <c r="FD32" s="290"/>
      <c r="FE32" s="290"/>
      <c r="FF32" s="290"/>
      <c r="FG32" s="290"/>
      <c r="FH32" s="290"/>
      <c r="FI32" s="290"/>
      <c r="FJ32" s="290"/>
      <c r="FK32" s="290"/>
      <c r="FL32" s="290"/>
      <c r="FM32" s="291"/>
      <c r="FN32" s="218"/>
      <c r="FO32" s="219"/>
      <c r="FP32" s="290"/>
      <c r="FQ32" s="290"/>
      <c r="FR32" s="290"/>
      <c r="FS32" s="290"/>
      <c r="FT32" s="290"/>
      <c r="FU32" s="290"/>
      <c r="FV32" s="290"/>
      <c r="FW32" s="290"/>
      <c r="FX32" s="290"/>
      <c r="FY32" s="290"/>
      <c r="FZ32" s="291"/>
      <c r="GA32" s="218"/>
      <c r="GB32" s="219"/>
      <c r="GC32" s="290"/>
      <c r="GD32" s="290"/>
      <c r="GE32" s="290"/>
      <c r="GF32" s="290"/>
      <c r="GG32" s="290"/>
      <c r="GH32" s="290"/>
      <c r="GI32" s="290"/>
      <c r="GJ32" s="290"/>
      <c r="GK32" s="290"/>
      <c r="GL32" s="290"/>
      <c r="GM32" s="291"/>
      <c r="GN32" s="218"/>
      <c r="GO32" s="219"/>
      <c r="GP32" s="290"/>
      <c r="GQ32" s="290"/>
      <c r="GR32" s="290"/>
      <c r="GS32" s="290"/>
      <c r="GT32" s="290"/>
      <c r="GU32" s="290"/>
      <c r="GV32" s="290"/>
      <c r="GW32" s="290"/>
      <c r="GX32" s="290"/>
      <c r="GY32" s="290"/>
      <c r="GZ32" s="291"/>
      <c r="HA32" s="218"/>
      <c r="HB32" s="219"/>
      <c r="HC32" s="290"/>
      <c r="HD32" s="290"/>
      <c r="HE32" s="290"/>
      <c r="HF32" s="290"/>
      <c r="HG32" s="290"/>
      <c r="HH32" s="290"/>
      <c r="HI32" s="290"/>
      <c r="HJ32" s="290"/>
      <c r="HK32" s="290"/>
      <c r="HL32" s="290"/>
      <c r="HM32" s="291"/>
      <c r="HN32" s="218"/>
      <c r="HO32" s="219"/>
      <c r="HP32" s="290"/>
      <c r="HQ32" s="290"/>
      <c r="HR32" s="290"/>
      <c r="HS32" s="290"/>
      <c r="HT32" s="290"/>
      <c r="HU32" s="290"/>
      <c r="HV32" s="290"/>
      <c r="HW32" s="290"/>
      <c r="HX32" s="290"/>
      <c r="HY32" s="290"/>
      <c r="HZ32" s="291"/>
      <c r="IA32" s="218"/>
      <c r="IB32" s="219"/>
      <c r="IC32" s="290"/>
      <c r="ID32" s="290"/>
      <c r="IE32" s="290"/>
      <c r="IF32" s="290"/>
      <c r="IG32" s="290"/>
      <c r="IH32" s="290"/>
      <c r="II32" s="290"/>
      <c r="IJ32" s="290"/>
      <c r="IK32" s="290"/>
      <c r="IL32" s="290"/>
      <c r="IM32" s="291"/>
      <c r="IN32" s="218"/>
      <c r="IO32" s="219"/>
      <c r="IP32" s="290"/>
      <c r="IQ32" s="290"/>
      <c r="IR32" s="290"/>
      <c r="IS32" s="290"/>
      <c r="IT32" s="290"/>
      <c r="IU32" s="290"/>
      <c r="IV32" s="290"/>
    </row>
    <row r="33" spans="1:256" x14ac:dyDescent="0.2">
      <c r="A33" s="218"/>
      <c r="B33" s="219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1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1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1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1"/>
    </row>
    <row r="60" spans="1:256" x14ac:dyDescent="0.2">
      <c r="A60" s="218"/>
      <c r="B60" s="219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256" x14ac:dyDescent="0.2">
      <c r="A61" s="218"/>
      <c r="B61" s="219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1"/>
    </row>
    <row r="62" spans="1:256" x14ac:dyDescent="0.2">
      <c r="A62" s="218"/>
      <c r="B62" s="219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1"/>
    </row>
    <row r="63" spans="1:256" x14ac:dyDescent="0.2">
      <c r="A63" s="218"/>
      <c r="B63" s="219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1"/>
    </row>
    <row r="64" spans="1:256" x14ac:dyDescent="0.2">
      <c r="A64" s="218"/>
      <c r="B64" s="219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x14ac:dyDescent="0.2">
      <c r="A65" s="218"/>
      <c r="B65" s="219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</row>
    <row r="66" spans="1:13" x14ac:dyDescent="0.2">
      <c r="A66" s="218"/>
      <c r="B66" s="219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1"/>
    </row>
    <row r="67" spans="1:13" x14ac:dyDescent="0.2">
      <c r="A67" s="218"/>
      <c r="B67" s="219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1"/>
    </row>
    <row r="68" spans="1:13" x14ac:dyDescent="0.2">
      <c r="A68" s="218"/>
      <c r="B68" s="219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1"/>
    </row>
    <row r="69" spans="1:13" x14ac:dyDescent="0.2">
      <c r="A69" s="218"/>
      <c r="B69" s="219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1"/>
    </row>
    <row r="70" spans="1:13" ht="12" thickBot="1" x14ac:dyDescent="0.25">
      <c r="A70" s="220"/>
      <c r="B70" s="221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5" t="s">
        <v>848</v>
      </c>
      <c r="B72" s="305"/>
      <c r="C72" s="305"/>
      <c r="D72" s="305"/>
      <c r="E72" s="30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</row>
    <row r="74" spans="1:13" x14ac:dyDescent="0.2">
      <c r="A74" s="211"/>
      <c r="B74" s="211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</row>
    <row r="75" spans="1:13" x14ac:dyDescent="0.2">
      <c r="A75" s="211"/>
      <c r="B75" s="211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</row>
    <row r="76" spans="1:13" x14ac:dyDescent="0.2">
      <c r="A76" s="211"/>
      <c r="B76" s="211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</row>
    <row r="77" spans="1:13" x14ac:dyDescent="0.2">
      <c r="A77" s="211"/>
      <c r="B77" s="211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</row>
    <row r="78" spans="1:13" x14ac:dyDescent="0.2">
      <c r="A78" s="211"/>
      <c r="B78" s="211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</row>
    <row r="79" spans="1:13" x14ac:dyDescent="0.2">
      <c r="A79" s="211"/>
      <c r="B79" s="211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</row>
    <row r="80" spans="1:13" x14ac:dyDescent="0.2">
      <c r="A80" s="211"/>
      <c r="B80" s="211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</row>
    <row r="81" spans="1:13" x14ac:dyDescent="0.2">
      <c r="A81" s="211"/>
      <c r="B81" s="211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</row>
    <row r="82" spans="1:13" x14ac:dyDescent="0.2">
      <c r="A82" s="211"/>
      <c r="B82" s="211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</row>
    <row r="83" spans="1:13" x14ac:dyDescent="0.2">
      <c r="A83" s="211"/>
      <c r="B83" s="211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</row>
    <row r="84" spans="1:13" x14ac:dyDescent="0.2">
      <c r="A84" s="211"/>
      <c r="B84" s="211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</row>
    <row r="85" spans="1:13" x14ac:dyDescent="0.2">
      <c r="A85" s="211"/>
      <c r="B85" s="211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</row>
    <row r="86" spans="1:13" x14ac:dyDescent="0.2">
      <c r="A86" s="211"/>
      <c r="B86" s="211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</row>
    <row r="87" spans="1:13" x14ac:dyDescent="0.2">
      <c r="A87" s="211"/>
      <c r="B87" s="211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</row>
    <row r="88" spans="1:13" x14ac:dyDescent="0.2">
      <c r="A88" s="211"/>
      <c r="B88" s="211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</row>
    <row r="89" spans="1:13" x14ac:dyDescent="0.2">
      <c r="A89" s="211"/>
      <c r="B89" s="211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</row>
    <row r="90" spans="1:13" x14ac:dyDescent="0.2">
      <c r="A90" s="211"/>
      <c r="B90" s="211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2013-09-27T17:35:28Z</cp:lastPrinted>
  <dcterms:created xsi:type="dcterms:W3CDTF">1997-12-04T19:04:30Z</dcterms:created>
  <dcterms:modified xsi:type="dcterms:W3CDTF">2013-11-14T15:26:49Z</dcterms:modified>
</cp:coreProperties>
</file>