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D46" i="2" l="1"/>
  <c r="D47" i="2"/>
  <c r="C47" i="2"/>
  <c r="D39" i="2"/>
  <c r="C19" i="12" l="1"/>
  <c r="B20" i="12"/>
  <c r="B19" i="12"/>
  <c r="C11" i="12"/>
  <c r="C10" i="12"/>
  <c r="J206" i="1"/>
  <c r="I467" i="1" l="1"/>
  <c r="G610" i="1"/>
  <c r="H471" i="1" l="1"/>
  <c r="H467" i="1"/>
  <c r="H22" i="1" l="1"/>
  <c r="H12" i="1"/>
  <c r="H13" i="1"/>
  <c r="I357" i="1" l="1"/>
  <c r="G357" i="1"/>
  <c r="F357" i="1"/>
  <c r="I206" i="1" l="1"/>
  <c r="I202" i="1"/>
  <c r="I201" i="1"/>
  <c r="H207" i="1"/>
  <c r="H206" i="1"/>
  <c r="H203" i="1"/>
  <c r="H202" i="1"/>
  <c r="H201" i="1"/>
  <c r="H199" i="1"/>
  <c r="H197" i="1"/>
  <c r="G206" i="1"/>
  <c r="G202" i="1"/>
  <c r="G201" i="1"/>
  <c r="G199" i="1"/>
  <c r="G197" i="1"/>
  <c r="F206" i="1"/>
  <c r="F202" i="1"/>
  <c r="F201" i="1"/>
  <c r="F199" i="1"/>
  <c r="F197" i="1"/>
  <c r="F9" i="1" l="1"/>
  <c r="C37" i="10" l="1"/>
  <c r="F40" i="2" l="1"/>
  <c r="G654" i="1"/>
  <c r="F47" i="2"/>
  <c r="E47" i="2"/>
  <c r="F46" i="2"/>
  <c r="E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E13" i="13" s="1"/>
  <c r="C13" i="13" s="1"/>
  <c r="L205" i="1"/>
  <c r="L223" i="1"/>
  <c r="L241" i="1"/>
  <c r="F16" i="13"/>
  <c r="E16" i="13" s="1"/>
  <c r="G16" i="13"/>
  <c r="L208" i="1"/>
  <c r="L226" i="1"/>
  <c r="L244" i="1"/>
  <c r="F5" i="13"/>
  <c r="G5" i="13"/>
  <c r="L196" i="1"/>
  <c r="L197" i="1"/>
  <c r="C109" i="2" s="1"/>
  <c r="L198" i="1"/>
  <c r="C110" i="2" s="1"/>
  <c r="L199" i="1"/>
  <c r="L214" i="1"/>
  <c r="L215" i="1"/>
  <c r="L216" i="1"/>
  <c r="L217" i="1"/>
  <c r="L232" i="1"/>
  <c r="L233" i="1"/>
  <c r="L234" i="1"/>
  <c r="L235" i="1"/>
  <c r="F6" i="13"/>
  <c r="G6" i="13"/>
  <c r="L201" i="1"/>
  <c r="C15" i="10" s="1"/>
  <c r="L219" i="1"/>
  <c r="L237" i="1"/>
  <c r="F7" i="13"/>
  <c r="G7" i="13"/>
  <c r="L202" i="1"/>
  <c r="L220" i="1"/>
  <c r="L238" i="1"/>
  <c r="F12" i="13"/>
  <c r="G12" i="13"/>
  <c r="L204" i="1"/>
  <c r="C120" i="2" s="1"/>
  <c r="L222" i="1"/>
  <c r="L240" i="1"/>
  <c r="F14" i="13"/>
  <c r="G14" i="13"/>
  <c r="L206" i="1"/>
  <c r="C122" i="2" s="1"/>
  <c r="L224" i="1"/>
  <c r="L242" i="1"/>
  <c r="F15" i="13"/>
  <c r="G15" i="13"/>
  <c r="L207" i="1"/>
  <c r="L225" i="1"/>
  <c r="L243" i="1"/>
  <c r="F17" i="13"/>
  <c r="G17" i="13"/>
  <c r="L250" i="1"/>
  <c r="F18" i="13"/>
  <c r="G18" i="13"/>
  <c r="D18" i="13" s="1"/>
  <c r="C18" i="13" s="1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400" i="1" s="1"/>
  <c r="C138" i="2" s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9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L246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F551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E77" i="2" s="1"/>
  <c r="E80" i="2" s="1"/>
  <c r="F76" i="2"/>
  <c r="G76" i="2"/>
  <c r="G77" i="2" s="1"/>
  <c r="C78" i="2"/>
  <c r="D78" i="2"/>
  <c r="E78" i="2"/>
  <c r="C79" i="2"/>
  <c r="E79" i="2"/>
  <c r="C84" i="2"/>
  <c r="C90" i="2" s="1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E102" i="2" s="1"/>
  <c r="F96" i="2"/>
  <c r="G96" i="2"/>
  <c r="G102" i="2" s="1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E118" i="2"/>
  <c r="C119" i="2"/>
  <c r="E119" i="2"/>
  <c r="E120" i="2"/>
  <c r="C121" i="2"/>
  <c r="E121" i="2"/>
  <c r="E122" i="2"/>
  <c r="C123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G621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H256" i="1" s="1"/>
  <c r="H270" i="1" s="1"/>
  <c r="I210" i="1"/>
  <c r="I256" i="1" s="1"/>
  <c r="I270" i="1" s="1"/>
  <c r="J210" i="1"/>
  <c r="J256" i="1" s="1"/>
  <c r="J270" i="1" s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J633" i="1" s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G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G460" i="1" s="1"/>
  <c r="H639" i="1" s="1"/>
  <c r="J639" i="1" s="1"/>
  <c r="H459" i="1"/>
  <c r="I459" i="1"/>
  <c r="F460" i="1"/>
  <c r="H460" i="1"/>
  <c r="I460" i="1"/>
  <c r="F469" i="1"/>
  <c r="G469" i="1"/>
  <c r="H469" i="1"/>
  <c r="I469" i="1"/>
  <c r="J469" i="1"/>
  <c r="F473" i="1"/>
  <c r="F475" i="1" s="1"/>
  <c r="H621" i="1" s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G544" i="1" s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G640" i="1"/>
  <c r="H640" i="1"/>
  <c r="G641" i="1"/>
  <c r="H641" i="1"/>
  <c r="G642" i="1"/>
  <c r="H642" i="1"/>
  <c r="G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C26" i="10"/>
  <c r="L327" i="1"/>
  <c r="H659" i="1" s="1"/>
  <c r="L350" i="1"/>
  <c r="I661" i="1"/>
  <c r="L289" i="1"/>
  <c r="A31" i="12"/>
  <c r="D15" i="13"/>
  <c r="C15" i="13" s="1"/>
  <c r="E18" i="2"/>
  <c r="F61" i="2"/>
  <c r="F62" i="2" s="1"/>
  <c r="D49" i="2"/>
  <c r="F49" i="2"/>
  <c r="C102" i="2"/>
  <c r="C61" i="2"/>
  <c r="C62" i="2" s="1"/>
  <c r="G61" i="2"/>
  <c r="D19" i="13"/>
  <c r="C19" i="13" s="1"/>
  <c r="L42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2" i="1"/>
  <c r="J475" i="1"/>
  <c r="H625" i="1" s="1"/>
  <c r="I475" i="1"/>
  <c r="H624" i="1" s="1"/>
  <c r="J624" i="1" s="1"/>
  <c r="G475" i="1"/>
  <c r="H622" i="1" s="1"/>
  <c r="G337" i="1"/>
  <c r="G351" i="1" s="1"/>
  <c r="F168" i="1"/>
  <c r="J139" i="1"/>
  <c r="F570" i="1"/>
  <c r="I551" i="1"/>
  <c r="K549" i="1"/>
  <c r="G22" i="2"/>
  <c r="K544" i="1"/>
  <c r="J551" i="1"/>
  <c r="H551" i="1"/>
  <c r="C29" i="10"/>
  <c r="H139" i="1"/>
  <c r="L392" i="1"/>
  <c r="A13" i="12"/>
  <c r="F22" i="13"/>
  <c r="C22" i="13" s="1"/>
  <c r="H25" i="13"/>
  <c r="C25" i="13" s="1"/>
  <c r="J650" i="1"/>
  <c r="H570" i="1"/>
  <c r="L559" i="1"/>
  <c r="J544" i="1"/>
  <c r="H337" i="1"/>
  <c r="H351" i="1" s="1"/>
  <c r="F337" i="1"/>
  <c r="F351" i="1" s="1"/>
  <c r="G191" i="1"/>
  <c r="H191" i="1"/>
  <c r="E127" i="2"/>
  <c r="C35" i="10"/>
  <c r="L308" i="1"/>
  <c r="J654" i="1"/>
  <c r="J644" i="1"/>
  <c r="L569" i="1"/>
  <c r="I570" i="1"/>
  <c r="I544" i="1"/>
  <c r="G36" i="2"/>
  <c r="L564" i="1"/>
  <c r="K550" i="1"/>
  <c r="C137" i="2"/>
  <c r="H33" i="13"/>
  <c r="J643" i="1" l="1"/>
  <c r="K597" i="1"/>
  <c r="G646" i="1" s="1"/>
  <c r="J646" i="1" s="1"/>
  <c r="J648" i="1"/>
  <c r="H544" i="1"/>
  <c r="K548" i="1"/>
  <c r="K551" i="1" s="1"/>
  <c r="L523" i="1"/>
  <c r="L544" i="1" s="1"/>
  <c r="H475" i="1"/>
  <c r="H623" i="1" s="1"/>
  <c r="J623" i="1" s="1"/>
  <c r="G163" i="2"/>
  <c r="G162" i="2"/>
  <c r="G161" i="2"/>
  <c r="G160" i="2"/>
  <c r="G159" i="2"/>
  <c r="G158" i="2"/>
  <c r="G157" i="2"/>
  <c r="G156" i="2"/>
  <c r="G155" i="2"/>
  <c r="E143" i="2"/>
  <c r="F102" i="2"/>
  <c r="F103" i="2" s="1"/>
  <c r="G80" i="2"/>
  <c r="F77" i="2"/>
  <c r="F80" i="2" s="1"/>
  <c r="C69" i="2"/>
  <c r="E61" i="2"/>
  <c r="E62" i="2" s="1"/>
  <c r="C31" i="2"/>
  <c r="D31" i="2"/>
  <c r="E31" i="2"/>
  <c r="D17" i="13"/>
  <c r="C17" i="13" s="1"/>
  <c r="F90" i="2"/>
  <c r="C77" i="2"/>
  <c r="C80" i="2" s="1"/>
  <c r="E49" i="2"/>
  <c r="E50" i="2" s="1"/>
  <c r="F31" i="2"/>
  <c r="F50" i="2" s="1"/>
  <c r="F18" i="2"/>
  <c r="C49" i="2"/>
  <c r="D12" i="13"/>
  <c r="C12" i="13" s="1"/>
  <c r="G622" i="1"/>
  <c r="J622" i="1" s="1"/>
  <c r="D18" i="2"/>
  <c r="D61" i="2"/>
  <c r="D62" i="2" s="1"/>
  <c r="I660" i="1"/>
  <c r="D29" i="13"/>
  <c r="C29" i="13" s="1"/>
  <c r="D126" i="2"/>
  <c r="D127" i="2" s="1"/>
  <c r="L361" i="1"/>
  <c r="C27" i="10" s="1"/>
  <c r="H663" i="1"/>
  <c r="H666" i="1" s="1"/>
  <c r="L381" i="1"/>
  <c r="G635" i="1" s="1"/>
  <c r="J635" i="1" s="1"/>
  <c r="C17" i="10"/>
  <c r="J337" i="1"/>
  <c r="J351" i="1" s="1"/>
  <c r="C16" i="10"/>
  <c r="E114" i="2"/>
  <c r="E144" i="2" s="1"/>
  <c r="C10" i="10"/>
  <c r="E8" i="13"/>
  <c r="C8" i="13" s="1"/>
  <c r="C118" i="2"/>
  <c r="C127" i="2" s="1"/>
  <c r="C108" i="2"/>
  <c r="C18" i="10"/>
  <c r="D14" i="13"/>
  <c r="C14" i="13" s="1"/>
  <c r="C20" i="10"/>
  <c r="D6" i="13"/>
  <c r="C6" i="13" s="1"/>
  <c r="D5" i="13"/>
  <c r="C5" i="13" s="1"/>
  <c r="C114" i="2"/>
  <c r="D7" i="13"/>
  <c r="C7" i="13" s="1"/>
  <c r="A40" i="12"/>
  <c r="L210" i="1"/>
  <c r="L256" i="1" s="1"/>
  <c r="L270" i="1" s="1"/>
  <c r="G631" i="1" s="1"/>
  <c r="J631" i="1" s="1"/>
  <c r="C16" i="13"/>
  <c r="D144" i="2"/>
  <c r="C50" i="2"/>
  <c r="J621" i="1"/>
  <c r="F51" i="1"/>
  <c r="H616" i="1" s="1"/>
  <c r="J616" i="1" s="1"/>
  <c r="C18" i="2"/>
  <c r="L337" i="1"/>
  <c r="L351" i="1" s="1"/>
  <c r="G632" i="1" s="1"/>
  <c r="J632" i="1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G49" i="2" s="1"/>
  <c r="G50" i="2" s="1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A22" i="12"/>
  <c r="H647" i="1"/>
  <c r="J647" i="1" s="1"/>
  <c r="C103" i="2"/>
  <c r="J651" i="1"/>
  <c r="J641" i="1"/>
  <c r="G570" i="1"/>
  <c r="I433" i="1"/>
  <c r="G433" i="1"/>
  <c r="I662" i="1"/>
  <c r="G634" i="1"/>
  <c r="J634" i="1" s="1"/>
  <c r="I192" i="1" l="1"/>
  <c r="G629" i="1" s="1"/>
  <c r="J629" i="1" s="1"/>
  <c r="H645" i="1"/>
  <c r="H671" i="1"/>
  <c r="C6" i="10" s="1"/>
  <c r="G671" i="1"/>
  <c r="C5" i="10" s="1"/>
  <c r="D31" i="13"/>
  <c r="C31" i="13" s="1"/>
  <c r="E33" i="13"/>
  <c r="D35" i="13" s="1"/>
  <c r="C28" i="10"/>
  <c r="D24" i="10" s="1"/>
  <c r="C144" i="2"/>
  <c r="F659" i="1"/>
  <c r="F663" i="1" s="1"/>
  <c r="F671" i="1" s="1"/>
  <c r="C4" i="10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13" i="10" l="1"/>
  <c r="C30" i="10"/>
  <c r="D19" i="10"/>
  <c r="D26" i="10"/>
  <c r="D25" i="10"/>
  <c r="D22" i="10"/>
  <c r="D10" i="10"/>
  <c r="D15" i="10"/>
  <c r="D21" i="10"/>
  <c r="D23" i="10"/>
  <c r="D20" i="10"/>
  <c r="D11" i="10"/>
  <c r="D16" i="10"/>
  <c r="D27" i="10"/>
  <c r="D18" i="10"/>
  <c r="D17" i="10"/>
  <c r="D12" i="10"/>
  <c r="I659" i="1"/>
  <c r="I663" i="1" s="1"/>
  <c r="I671" i="1" s="1"/>
  <c r="C7" i="10" s="1"/>
  <c r="F666" i="1"/>
  <c r="H655" i="1"/>
  <c r="C41" i="10"/>
  <c r="D38" i="10" s="1"/>
  <c r="D28" i="10" l="1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<sst xmlns="http://schemas.openxmlformats.org/spreadsheetml/2006/main" count="3945" uniqueCount="911">
  <si>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</si>
  <si>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</si>
  <si>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</si>
  <si>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</si>
  <si>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</si>
  <si>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</si>
  <si>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</si>
  <si>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</si>
  <si>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</si>
  <si>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</si>
  <si>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</si>
  <si>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</si>
  <si>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</si>
  <si>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</si>
  <si>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</si>
  <si>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</si>
  <si>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</si>
  <si>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</si>
  <si>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</si>
  <si>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</si>
  <si>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</si>
  <si>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</si>
  <si>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</si>
  <si>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</si>
  <si>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</si>
  <si>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</si>
  <si>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</si>
  <si>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</si>
  <si>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</si>
  <si>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</si>
  <si>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</si>
  <si>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</si>
  <si>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</si>
  <si>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</si>
  <si>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</si>
  <si>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</si>
  <si>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</si>
  <si>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</si>
  <si>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</si>
  <si>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</si>
  <si>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</si>
  <si>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</si>
  <si>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</si>
  <si>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</si>
  <si>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</si>
  <si>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</si>
  <si>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</si>
  <si>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</si>
  <si>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</si>
  <si>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</si>
  <si>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</si>
  <si>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</si>
  <si>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</si>
  <si>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</si>
  <si>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</si>
  <si>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</si>
  <si>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</si>
  <si>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</si>
  <si>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</si>
  <si>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</si>
  <si>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</si>
  <si>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</si>
  <si>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</si>
  <si>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</si>
  <si>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</si>
  <si>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</si>
  <si>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</si>
  <si>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</si>
  <si>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</si>
  <si>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</si>
  <si>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</si>
  <si>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</si>
  <si>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</si>
  <si>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</si>
  <si>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</si>
  <si>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</si>
  <si>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</si>
  <si>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</si>
  <si>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</si>
  <si>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</si>
  <si>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</si>
  <si>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</si>
  <si>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</si>
  <si>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</si>
  <si>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</si>
  <si>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</si>
  <si>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</si>
  <si>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</si>
  <si>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</si>
  <si>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</si>
  <si>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</si>
  <si>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</si>
  <si>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</si>
  <si>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</si>
  <si>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</si>
  <si>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</si>
  <si>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</si>
  <si>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</si>
  <si>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</si>
  <si>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</si>
  <si>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</si>
  <si>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</si>
  <si>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</si>
  <si>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</si>
  <si>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</si>
  <si>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</si>
  <si>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</si>
  <si>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</si>
  <si>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</si>
  <si>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</si>
  <si>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</si>
  <si>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</si>
  <si>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</si>
  <si>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</si>
  <si>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</si>
  <si>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</si>
  <si>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</si>
  <si>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</si>
  <si>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</si>
  <si>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</si>
  <si>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</si>
  <si>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</si>
  <si>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</si>
  <si>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</si>
  <si>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</si>
  <si>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</si>
  <si>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</si>
  <si>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</si>
  <si>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</si>
  <si>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</si>
  <si>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</si>
  <si>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</si>
  <si>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</si>
  <si>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</si>
  <si>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</si>
  <si>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</si>
  <si>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</si>
  <si>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</si>
  <si>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</si>
  <si>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</si>
  <si>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</si>
  <si>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</si>
  <si>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</si>
  <si>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</si>
  <si>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</si>
  <si>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</si>
  <si>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</si>
  <si>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</si>
  <si>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</si>
  <si>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</si>
  <si>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</si>
  <si>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</si>
  <si>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</si>
  <si>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</si>
  <si>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</si>
  <si>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</si>
  <si>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</si>
  <si>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</si>
  <si>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</si>
  <si>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</si>
  <si>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</si>
  <si>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</si>
  <si>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</si>
  <si>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</si>
  <si>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</si>
  <si>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</si>
  <si>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</si>
  <si>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</si>
  <si>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</si>
  <si>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</si>
  <si>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</si>
  <si>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</si>
  <si>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</si>
  <si>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</si>
  <si>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</si>
  <si>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</si>
  <si>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</si>
  <si>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</si>
  <si>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</si>
  <si>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</si>
  <si>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</si>
  <si>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</si>
  <si>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</si>
  <si>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</si>
  <si>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</si>
  <si>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</si>
  <si>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</si>
  <si>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</si>
  <si>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</si>
  <si>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</si>
  <si>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</si>
  <si>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</si>
  <si>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</si>
  <si>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</si>
  <si>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</si>
  <si>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</si>
  <si>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</si>
  <si>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</si>
  <si>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</si>
  <si>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</si>
  <si>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</si>
  <si>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</si>
  <si>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</si>
  <si>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</si>
  <si>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</si>
  <si>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</si>
  <si>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</si>
  <si>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</si>
  <si>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</si>
  <si>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</si>
  <si>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</si>
  <si>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</si>
  <si>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</si>
  <si>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</si>
  <si>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</si>
  <si>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</si>
  <si>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</si>
  <si>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</si>
  <si>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</si>
  <si>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</si>
  <si>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</si>
  <si>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</si>
  <si>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</si>
  <si>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</si>
  <si>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</si>
  <si>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</si>
  <si>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</si>
  <si>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</si>
  <si>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</si>
  <si>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</si>
  <si>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</si>
  <si>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</si>
  <si>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</si>
  <si>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</si>
  <si>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</si>
  <si>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</si>
  <si>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</si>
  <si>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</si>
  <si>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</si>
  <si>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</si>
  <si>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</si>
  <si>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</si>
  <si>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</si>
  <si>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</si>
  <si>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</si>
  <si>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</si>
  <si>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</si>
  <si>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</si>
  <si>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</si>
  <si>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</si>
  <si>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</si>
  <si>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</si>
  <si>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</si>
  <si>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</si>
  <si>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</si>
  <si>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</si>
  <si>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</si>
  <si>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</si>
  <si>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</si>
  <si>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</si>
  <si>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</si>
  <si>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</si>
  <si>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</si>
  <si>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</si>
  <si>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</si>
  <si>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</si>
  <si>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</si>
  <si>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</si>
  <si>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</si>
  <si>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</si>
  <si>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</si>
  <si>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</si>
  <si>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</si>
  <si>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</si>
  <si>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</si>
  <si>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</si>
  <si>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</si>
  <si>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</si>
  <si>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</si>
  <si>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</si>
  <si>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</si>
  <si>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</si>
  <si>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</si>
  <si>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</si>
  <si>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</si>
  <si>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</si>
  <si>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</si>
  <si>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</si>
  <si>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</si>
  <si>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</si>
  <si>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</si>
  <si>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</si>
  <si>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</si>
  <si>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</si>
  <si>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</si>
  <si>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</si>
  <si>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</si>
  <si>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</si>
  <si>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</si>
  <si>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</si>
  <si>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</si>
  <si>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</si>
  <si>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</si>
  <si>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</si>
  <si>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</si>
  <si>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</si>
  <si>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</si>
  <si>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</si>
  <si>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</si>
  <si>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</si>
  <si>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</si>
  <si>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</si>
  <si>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</si>
  <si>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</si>
  <si>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</si>
  <si>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</si>
  <si>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</si>
  <si>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</si>
  <si>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</si>
  <si>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</si>
  <si>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</si>
  <si>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</si>
  <si>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</si>
  <si>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</si>
  <si>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</si>
  <si>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</si>
  <si>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</si>
  <si>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</si>
  <si>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</si>
  <si>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</si>
  <si>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</si>
  <si>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</si>
  <si>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</si>
  <si>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</si>
  <si>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</si>
  <si>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</si>
  <si>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</si>
  <si>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</si>
  <si>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</si>
  <si>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</si>
  <si>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</si>
  <si>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</si>
  <si>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</si>
  <si>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</si>
  <si>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</si>
  <si>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</si>
  <si>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</si>
  <si>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</si>
  <si>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</si>
  <si>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</si>
  <si>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</si>
  <si>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</si>
  <si>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</si>
  <si>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</si>
  <si>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</si>
  <si>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</si>
  <si>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</si>
  <si>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</si>
  <si>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</si>
  <si>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</si>
  <si>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</si>
  <si>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</si>
  <si>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</si>
  <si>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</si>
  <si>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</si>
  <si>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</si>
  <si>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</si>
  <si>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</si>
  <si>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</si>
  <si>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</si>
  <si>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</si>
  <si>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</si>
  <si>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</si>
  <si>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</si>
  <si>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</si>
  <si>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</si>
  <si>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</si>
  <si>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</si>
  <si>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</si>
  <si>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</si>
  <si>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</si>
  <si>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</si>
  <si>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</si>
  <si>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</si>
  <si>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</si>
  <si>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</si>
  <si>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</si>
  <si>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</si>
  <si>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</si>
  <si>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</si>
  <si>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</si>
  <si>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</si>
  <si>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</si>
  <si>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</si>
  <si>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</si>
  <si>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</si>
  <si>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</si>
  <si>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</si>
  <si>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</si>
  <si>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</si>
  <si>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</si>
  <si>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</si>
  <si>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</si>
  <si>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</si>
  <si>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</si>
  <si>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</si>
  <si>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</si>
  <si>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</si>
  <si>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</si>
  <si>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</si>
  <si>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</si>
  <si>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</si>
  <si>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</si>
  <si>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</si>
  <si>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</si>
  <si>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</si>
  <si>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</si>
  <si>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</si>
  <si>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</si>
  <si>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</si>
  <si>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</si>
  <si>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</si>
  <si>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</si>
  <si>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</si>
  <si>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</si>
  <si>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</si>
  <si>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</si>
  <si>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</si>
  <si>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</si>
  <si>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</si>
  <si>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</si>
  <si>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</si>
  <si>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</si>
  <si>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</si>
  <si>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</si>
  <si>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</si>
  <si>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</si>
  <si>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</si>
  <si>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</si>
  <si>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</si>
  <si>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</si>
  <si>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</si>
  <si>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</si>
  <si>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</si>
  <si>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</si>
  <si>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</si>
  <si>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</si>
  <si>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</si>
  <si>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</si>
  <si>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</si>
  <si>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</si>
  <si>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</si>
  <si>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</si>
  <si>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</si>
  <si>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</si>
  <si>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</si>
  <si>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</si>
  <si>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</si>
  <si>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</si>
  <si>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</si>
  <si>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</si>
  <si>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</si>
  <si>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</si>
  <si>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</si>
  <si>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</si>
  <si>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</si>
  <si>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</si>
  <si>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</si>
  <si>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</si>
  <si>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</si>
  <si>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</si>
  <si>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</si>
  <si>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</si>
  <si>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</si>
  <si>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</si>
  <si>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</si>
  <si>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</si>
  <si>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</si>
  <si>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</si>
  <si>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</si>
  <si>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</si>
  <si>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</si>
  <si>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</si>
  <si>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</si>
  <si>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</si>
  <si>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</si>
  <si>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</si>
  <si>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</si>
  <si>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</si>
  <si>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</si>
  <si>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</si>
  <si>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</si>
  <si>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</si>
  <si>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</si>
  <si>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</si>
  <si>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</si>
  <si>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</si>
  <si>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</si>
  <si>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</si>
  <si>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</si>
  <si>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</si>
  <si>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</si>
  <si>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</si>
  <si>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</si>
  <si>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</si>
  <si>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</si>
  <si>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</si>
  <si>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</si>
  <si>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</si>
  <si>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</si>
  <si>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</si>
  <si>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</si>
  <si>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</si>
  <si>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</si>
  <si>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</si>
  <si>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</si>
  <si>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</si>
  <si>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</si>
  <si>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</si>
  <si>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</si>
  <si>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</si>
  <si>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</si>
  <si>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</si>
  <si>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</si>
  <si>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</si>
  <si>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</si>
  <si>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</si>
  <si>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</si>
  <si>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</si>
  <si>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</si>
  <si>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</si>
  <si>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</si>
  <si>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</si>
  <si>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</si>
  <si>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</si>
  <si>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</si>
  <si>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</si>
  <si>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</si>
  <si>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</si>
  <si>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</si>
  <si>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</si>
  <si>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</si>
  <si>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</si>
  <si>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</si>
  <si>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</si>
  <si>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</si>
  <si>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</si>
  <si>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</si>
  <si>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</si>
  <si>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</si>
  <si>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</si>
  <si>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</si>
  <si>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</si>
  <si>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</si>
  <si>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</si>
  <si>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</si>
  <si>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</si>
  <si>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</si>
  <si>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</si>
  <si>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</si>
  <si>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</si>
  <si>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</si>
  <si>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</si>
  <si>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</si>
  <si>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</si>
  <si>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</si>
  <si>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</si>
  <si>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</si>
  <si>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</si>
  <si>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</si>
  <si>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</si>
  <si>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</si>
  <si>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</si>
  <si>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</si>
  <si>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</si>
  <si>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</si>
  <si>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</si>
  <si>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</si>
  <si>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</si>
  <si>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</si>
  <si>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</si>
  <si>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</si>
  <si>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</si>
  <si>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</si>
  <si>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</si>
  <si>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</si>
  <si>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</si>
  <si>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</si>
  <si>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</si>
  <si>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</si>
  <si>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</si>
  <si>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</si>
  <si>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</si>
  <si>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</si>
  <si>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</si>
  <si>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</si>
  <si>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</si>
  <si>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</si>
  <si>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</si>
  <si>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</si>
  <si>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</si>
  <si>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</si>
  <si>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</si>
  <si>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</si>
  <si>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</si>
  <si>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</si>
  <si>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</si>
  <si>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</si>
  <si>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</si>
  <si>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</si>
  <si>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</si>
  <si>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</si>
  <si>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</si>
  <si>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</si>
  <si>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</si>
  <si>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</si>
  <si>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</si>
  <si>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</si>
  <si>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</si>
  <si>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</si>
  <si>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</si>
  <si>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</si>
  <si>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</si>
  <si>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</si>
  <si>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</si>
  <si>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</si>
  <si>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</si>
  <si>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</si>
  <si>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</si>
  <si>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</si>
  <si>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</si>
  <si>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</si>
  <si>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</si>
  <si>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</si>
  <si>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</si>
  <si>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</si>
  <si>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</si>
  <si>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</si>
  <si>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</si>
  <si>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</si>
  <si>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</si>
  <si>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</si>
  <si>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</si>
  <si>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</si>
  <si>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</si>
  <si>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</si>
  <si>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</si>
  <si>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</si>
  <si>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</si>
  <si>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</si>
  <si>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</si>
  <si>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</si>
  <si>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</si>
  <si>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</si>
  <si>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</si>
  <si>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</si>
  <si>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</si>
  <si>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</si>
  <si>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</si>
  <si>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</si>
  <si>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</si>
  <si>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</si>
  <si>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</si>
  <si>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</si>
  <si>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</si>
  <si>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</si>
  <si>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</si>
  <si>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</si>
  <si>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</si>
  <si>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</si>
  <si>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</si>
  <si>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</si>
  <si>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</si>
  <si>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</si>
  <si>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</si>
  <si>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</si>
  <si>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</si>
  <si>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</si>
  <si>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</si>
  <si>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</si>
  <si>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</si>
  <si>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</si>
  <si>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</si>
  <si>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</si>
  <si>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</si>
  <si>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</si>
  <si>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</si>
  <si>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</si>
  <si>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</si>
  <si>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</si>
  <si>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</si>
  <si>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</si>
  <si>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</si>
  <si>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</si>
  <si>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</si>
  <si>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</si>
  <si>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</si>
  <si>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</si>
  <si>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</si>
  <si>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</si>
  <si>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</si>
  <si>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</si>
  <si>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</si>
  <si>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</si>
  <si>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</si>
  <si>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</si>
  <si>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</si>
  <si>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</si>
  <si>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</si>
  <si>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</si>
  <si>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</si>
  <si>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</si>
  <si>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</si>
  <si>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</si>
  <si>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</si>
  <si>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</si>
  <si>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</si>
  <si>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</si>
  <si>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</si>
  <si>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</si>
  <si>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</si>
  <si>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</si>
  <si>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</si>
  <si>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</si>
  <si>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</si>
  <si>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</si>
  <si>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</si>
  <si>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</si>
  <si>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</si>
  <si>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</si>
  <si>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</si>
  <si>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</si>
  <si>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</si>
  <si>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</si>
  <si>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</si>
  <si>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</si>
  <si>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</si>
  <si>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</si>
  <si>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</si>
  <si>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</si>
  <si>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</si>
  <si>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</si>
  <si>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</si>
  <si>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</si>
  <si>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</si>
  <si>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</si>
  <si>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</si>
  <si>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</si>
  <si>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</si>
  <si>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</si>
  <si>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</si>
  <si>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</si>
  <si>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</si>
  <si>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</si>
  <si>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</si>
  <si>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</si>
  <si>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</si>
  <si>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</si>
  <si>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</si>
  <si>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</si>
  <si>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</si>
  <si>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</si>
  <si>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</si>
  <si>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</si>
  <si>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</si>
  <si>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</si>
  <si>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</si>
  <si>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</si>
  <si>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</si>
  <si>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</si>
  <si>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</si>
  <si>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</si>
  <si>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</si>
  <si>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</si>
  <si>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</si>
  <si>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</si>
  <si>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</si>
  <si>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</si>
  <si>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</si>
  <si>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</si>
  <si>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</si>
  <si>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</si>
  <si>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</si>
  <si>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</si>
  <si>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</si>
  <si>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</si>
  <si>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</si>
  <si>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</si>
  <si>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</si>
  <si>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</si>
  <si>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</si>
  <si>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</si>
  <si>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</si>
  <si>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</si>
  <si>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</si>
  <si>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</si>
  <si>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</si>
  <si>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</si>
  <si>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</si>
  <si>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</si>
  <si>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</si>
  <si>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</si>
  <si>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</si>
  <si>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</si>
  <si>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</si>
  <si>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</si>
  <si>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</si>
  <si>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</si>
  <si>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</si>
  <si>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</si>
  <si>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</si>
  <si>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</si>
  <si>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</si>
  <si>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</si>
  <si>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</si>
  <si>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</si>
  <si>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</si>
  <si>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</si>
  <si>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</si>
  <si>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</si>
  <si>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</si>
  <si>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</si>
  <si>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</si>
  <si>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</si>
  <si>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</si>
  <si>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</si>
  <si>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</si>
  <si>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</si>
  <si>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</si>
  <si>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</si>
  <si>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</si>
  <si>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</si>
  <si>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</si>
  <si>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</si>
  <si>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</si>
  <si>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</si>
  <si>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</si>
  <si>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</si>
  <si>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</si>
  <si>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</si>
  <si>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</si>
  <si>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</si>
  <si>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</si>
  <si>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</si>
  <si>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</si>
  <si>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</si>
  <si>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</si>
  <si>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</si>
  <si>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</si>
  <si>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</si>
  <si>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</si>
  <si>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</si>
  <si>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</si>
  <si>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</si>
  <si>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</si>
  <si>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</si>
  <si>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</si>
  <si>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</si>
  <si>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</si>
  <si>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</si>
  <si>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</si>
  <si>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</si>
  <si>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</si>
  <si>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</si>
  <si>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</si>
  <si>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</si>
  <si>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</si>
  <si>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</si>
  <si>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</si>
  <si>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</si>
  <si>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</si>
  <si>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</si>
  <si>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</si>
  <si>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</si>
  <si>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</si>
  <si>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</si>
  <si>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</si>
  <si>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</si>
  <si>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</si>
  <si>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</si>
  <si>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</si>
  <si>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</si>
  <si>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</si>
  <si>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</si>
  <si>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</si>
  <si>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</si>
  <si>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</si>
  <si>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</si>
  <si>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</si>
  <si>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</si>
  <si>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</si>
  <si>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</si>
  <si>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</si>
  <si>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</si>
  <si>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</si>
  <si>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</si>
  <si>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</si>
  <si>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</si>
  <si>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</si>
  <si>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</si>
  <si>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</si>
  <si>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</si>
  <si>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</si>
  <si>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</si>
  <si>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</si>
  <si>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</si>
  <si>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</si>
  <si>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</si>
  <si>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</si>
  <si>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Gymnasium flood damage due to broken water heater majority covered by insurance.</t>
  </si>
  <si>
    <t>ASHLAND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</si>
</sst>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4" sqref="F4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910</v>
      </c>
      <c r="B2" s="21">
        <v>23</v>
      </c>
      <c r="C2" s="21">
        <v>23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120489.47+1000</f>
        <v>121489.47</v>
      </c>
      <c r="G9" s="18"/>
      <c r="H9" s="18"/>
      <c r="I9" s="18"/>
      <c r="J9" s="67">
        <f>SUM(I438)</f>
        <v>111381.53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1090033.0900000001</v>
      </c>
      <c r="G12" s="18">
        <v>391390.27</v>
      </c>
      <c r="H12" s="18">
        <f>588636.35+23805.88</f>
        <v>612442.23</v>
      </c>
      <c r="I12" s="18">
        <v>70171.45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8646.16</v>
      </c>
      <c r="G13" s="18">
        <v>7591.39</v>
      </c>
      <c r="H13" s="18">
        <f>11686.99</f>
        <v>11686.99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267.83999999999997</v>
      </c>
      <c r="G14" s="18">
        <v>-309.25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1220436.56</v>
      </c>
      <c r="G19" s="41">
        <f>SUM(G9:G18)</f>
        <v>398672.41000000003</v>
      </c>
      <c r="H19" s="41">
        <f>SUM(H9:H18)</f>
        <v>624129.22</v>
      </c>
      <c r="I19" s="41">
        <f>SUM(I9:I18)</f>
        <v>70171.45</v>
      </c>
      <c r="J19" s="41">
        <f>SUM(J9:J18)</f>
        <v>111381.53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1074003.95</v>
      </c>
      <c r="G22" s="18">
        <v>398993.5</v>
      </c>
      <c r="H22" s="18">
        <f>600323.17+22925.96-2380.99</f>
        <v>620868.14</v>
      </c>
      <c r="I22" s="18">
        <v>70171.45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300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10502.12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3817.23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2811.29</v>
      </c>
      <c r="G30" s="18"/>
      <c r="H30" s="18">
        <v>0.17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1091434.5900000001</v>
      </c>
      <c r="G32" s="41">
        <f>SUM(G22:G31)</f>
        <v>398993.5</v>
      </c>
      <c r="H32" s="41">
        <f>SUM(H22:H31)</f>
        <v>620868.31000000006</v>
      </c>
      <c r="I32" s="41">
        <f>SUM(I22:I31)</f>
        <v>70171.45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-321.08999999999997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4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4"/>
      <c r="H47" s="18">
        <v>3260.91</v>
      </c>
      <c r="I47" s="18"/>
      <c r="J47" s="13">
        <f>SUM(I458)</f>
        <v>111381.53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109554.71</v>
      </c>
      <c r="G48" s="4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9447.26+10000</f>
        <v>19447.260000000002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129001.97</v>
      </c>
      <c r="G50" s="41">
        <f>SUM(G35:G49)</f>
        <v>-321.08999999999997</v>
      </c>
      <c r="H50" s="41">
        <f>SUM(H35:H49)</f>
        <v>3260.91</v>
      </c>
      <c r="I50" s="41">
        <f>SUM(I35:I49)</f>
        <v>0</v>
      </c>
      <c r="J50" s="41">
        <f>SUM(J35:J49)</f>
        <v>111381.53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1220436.56</v>
      </c>
      <c r="G51" s="41">
        <f>G50+G32</f>
        <v>398672.41</v>
      </c>
      <c r="H51" s="41">
        <f>H50+H32</f>
        <v>624129.22000000009</v>
      </c>
      <c r="I51" s="41">
        <f>I50+I32</f>
        <v>70171.45</v>
      </c>
      <c r="J51" s="41">
        <f>J50+J32</f>
        <v>111381.53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1785864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1785864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356.25</v>
      </c>
      <c r="G95" s="18"/>
      <c r="H95" s="18"/>
      <c r="I95" s="18"/>
      <c r="J95" s="18">
        <v>277.82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20217.349999999999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1162.5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209.96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1457.93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3186.6400000000003</v>
      </c>
      <c r="G110" s="41">
        <f>SUM(G95:G109)</f>
        <v>20217.349999999999</v>
      </c>
      <c r="H110" s="41">
        <f>SUM(H95:H109)</f>
        <v>0</v>
      </c>
      <c r="I110" s="41">
        <f>SUM(I95:I109)</f>
        <v>0</v>
      </c>
      <c r="J110" s="41">
        <f>SUM(J95:J109)</f>
        <v>277.82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1789050.64</v>
      </c>
      <c r="G111" s="41">
        <f>G59+G110</f>
        <v>20217.349999999999</v>
      </c>
      <c r="H111" s="41">
        <f>H59+H78+H93+H110</f>
        <v>0</v>
      </c>
      <c r="I111" s="41">
        <f>I59+I110</f>
        <v>0</v>
      </c>
      <c r="J111" s="41">
        <f>J59+J110</f>
        <v>277.82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494571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373640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868211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1119.5899999999999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v>8441.8799999999992</v>
      </c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1119.5899999999999</v>
      </c>
      <c r="H135" s="41">
        <f>SUM(H122:H134)</f>
        <v>8441.8799999999992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868211</v>
      </c>
      <c r="G139" s="41">
        <f>G120+SUM(G135:G136)</f>
        <v>1119.5899999999999</v>
      </c>
      <c r="H139" s="41">
        <f>H120+SUM(H135:H138)</f>
        <v>8441.8799999999992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77249.289999999994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26754.02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47249.59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22802.05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22802.05</v>
      </c>
      <c r="G161" s="41">
        <f>SUM(G149:G160)</f>
        <v>47249.59</v>
      </c>
      <c r="H161" s="41">
        <f>SUM(H149:H160)</f>
        <v>104003.31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403.54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23205.59</v>
      </c>
      <c r="G168" s="41">
        <f>G146+G161+SUM(G162:G167)</f>
        <v>47249.59</v>
      </c>
      <c r="H168" s="41">
        <f>H146+H161+SUM(H162:H167)</f>
        <v>104003.31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20000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20000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>
        <v>70171.45</v>
      </c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20000</v>
      </c>
      <c r="H191" s="41">
        <f>+H182+SUM(H187:H190)</f>
        <v>0</v>
      </c>
      <c r="I191" s="41">
        <f>I176+I182+SUM(I187:I190)</f>
        <v>70171.45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2680467.2299999995</v>
      </c>
      <c r="G192" s="47">
        <f>G111+G139+G168+G191</f>
        <v>88586.53</v>
      </c>
      <c r="H192" s="47">
        <f>H111+H139+H168+H191</f>
        <v>112445.19</v>
      </c>
      <c r="I192" s="47">
        <f>I111+I139+I168+I191</f>
        <v>70171.45</v>
      </c>
      <c r="J192" s="47">
        <f>J111+J139+J191</f>
        <v>277.82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879320.48</v>
      </c>
      <c r="G196" s="18">
        <v>482936.11</v>
      </c>
      <c r="H196" s="18">
        <v>5529.3</v>
      </c>
      <c r="I196" s="18">
        <v>49281.5</v>
      </c>
      <c r="J196" s="18">
        <v>8756.39</v>
      </c>
      <c r="K196" s="18">
        <v>525</v>
      </c>
      <c r="L196" s="19">
        <f>SUM(F196:K196)</f>
        <v>1426348.7799999998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109344.85+2920</f>
        <v>112264.85</v>
      </c>
      <c r="G197" s="18">
        <f>54061+493.6</f>
        <v>54554.6</v>
      </c>
      <c r="H197" s="18">
        <f>18357.94+697</f>
        <v>19054.939999999999</v>
      </c>
      <c r="I197" s="18">
        <v>1457.21</v>
      </c>
      <c r="J197" s="18"/>
      <c r="K197" s="18">
        <v>125</v>
      </c>
      <c r="L197" s="19">
        <f>SUM(F197:K197)</f>
        <v>187456.6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26050+400</f>
        <v>26450</v>
      </c>
      <c r="G199" s="18">
        <f>4627.8+75.78</f>
        <v>4703.58</v>
      </c>
      <c r="H199" s="18">
        <f>373.06+3280</f>
        <v>3653.06</v>
      </c>
      <c r="I199" s="18">
        <v>1362.5</v>
      </c>
      <c r="J199" s="18">
        <v>1376</v>
      </c>
      <c r="K199" s="18"/>
      <c r="L199" s="19">
        <f>SUM(F199:K199)</f>
        <v>37545.14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53112.64+53576+12558.76</f>
        <v>119247.4</v>
      </c>
      <c r="G201" s="18">
        <f>28925.66+26496.09+1052.46</f>
        <v>56474.21</v>
      </c>
      <c r="H201" s="18">
        <f>2442.5+1387.78+29.71+45094.56</f>
        <v>48954.549999999996</v>
      </c>
      <c r="I201" s="18">
        <f>1344.98+983.8+620.55+658.15</f>
        <v>3607.48</v>
      </c>
      <c r="J201" s="18">
        <v>175.83</v>
      </c>
      <c r="K201" s="18">
        <v>210</v>
      </c>
      <c r="L201" s="19">
        <f t="shared" ref="L201:L207" si="0">SUM(F201:K201)</f>
        <v>228669.46999999997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13160.49+6500+34601.4</f>
        <v>54261.89</v>
      </c>
      <c r="G202" s="18">
        <f>1102.75+1219.25+11917.98</f>
        <v>14239.98</v>
      </c>
      <c r="H202" s="18">
        <f>20026.5+23877.81+1157.24</f>
        <v>45061.549999999996</v>
      </c>
      <c r="I202" s="18">
        <f>2958.61+8670.36</f>
        <v>11628.970000000001</v>
      </c>
      <c r="J202" s="18">
        <v>25160</v>
      </c>
      <c r="K202" s="18">
        <v>49</v>
      </c>
      <c r="L202" s="19">
        <f t="shared" si="0"/>
        <v>150401.38999999998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3670</v>
      </c>
      <c r="G203" s="18">
        <v>348.57</v>
      </c>
      <c r="H203" s="18">
        <f>2870.88+8250+2944.5+67720</f>
        <v>81785.38</v>
      </c>
      <c r="I203" s="18">
        <v>575.22</v>
      </c>
      <c r="J203" s="18"/>
      <c r="K203" s="18">
        <v>3522.21</v>
      </c>
      <c r="L203" s="19">
        <f t="shared" si="0"/>
        <v>89901.380000000019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115400</v>
      </c>
      <c r="G204" s="18">
        <v>26792.799999999999</v>
      </c>
      <c r="H204" s="18">
        <v>7186.74</v>
      </c>
      <c r="I204" s="18">
        <v>2563.38</v>
      </c>
      <c r="J204" s="18">
        <v>5326.99</v>
      </c>
      <c r="K204" s="18">
        <v>720</v>
      </c>
      <c r="L204" s="19">
        <f t="shared" si="0"/>
        <v>157989.90999999997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95363.61+988</f>
        <v>96351.61</v>
      </c>
      <c r="G206" s="18">
        <f>57576.1+75.58</f>
        <v>57651.68</v>
      </c>
      <c r="H206" s="18">
        <f>25226.56+23698.41+3789.61</f>
        <v>52714.58</v>
      </c>
      <c r="I206" s="18">
        <f>97599.53+1926.54+1867.65</f>
        <v>101393.71999999999</v>
      </c>
      <c r="J206" s="18">
        <f>4900+6857.83+1499.98</f>
        <v>13257.81</v>
      </c>
      <c r="K206" s="18"/>
      <c r="L206" s="19">
        <f t="shared" si="0"/>
        <v>321369.39999999997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41098+13480.6+3860+4690</f>
        <v>63128.6</v>
      </c>
      <c r="I207" s="18"/>
      <c r="J207" s="18"/>
      <c r="K207" s="18"/>
      <c r="L207" s="19">
        <f t="shared" si="0"/>
        <v>63128.6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1406966.23</v>
      </c>
      <c r="G210" s="41">
        <f t="shared" si="1"/>
        <v>697701.52999999991</v>
      </c>
      <c r="H210" s="41">
        <f t="shared" si="1"/>
        <v>327068.69999999995</v>
      </c>
      <c r="I210" s="41">
        <f t="shared" si="1"/>
        <v>171869.97999999998</v>
      </c>
      <c r="J210" s="41">
        <f t="shared" si="1"/>
        <v>54053.02</v>
      </c>
      <c r="K210" s="41">
        <f t="shared" si="1"/>
        <v>5151.21</v>
      </c>
      <c r="L210" s="41">
        <f t="shared" si="1"/>
        <v>2662810.67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1406966.23</v>
      </c>
      <c r="G256" s="41">
        <f t="shared" si="8"/>
        <v>697701.52999999991</v>
      </c>
      <c r="H256" s="41">
        <f t="shared" si="8"/>
        <v>327068.69999999995</v>
      </c>
      <c r="I256" s="41">
        <f t="shared" si="8"/>
        <v>171869.97999999998</v>
      </c>
      <c r="J256" s="41">
        <f t="shared" si="8"/>
        <v>54053.02</v>
      </c>
      <c r="K256" s="41">
        <f t="shared" si="8"/>
        <v>5151.21</v>
      </c>
      <c r="L256" s="41">
        <f t="shared" si="8"/>
        <v>2662810.67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20000</v>
      </c>
      <c r="L262" s="19">
        <f>SUM(F262:K262)</f>
        <v>20000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20000</v>
      </c>
      <c r="L269" s="41">
        <f t="shared" si="9"/>
        <v>20000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1406966.23</v>
      </c>
      <c r="G270" s="42">
        <f t="shared" si="11"/>
        <v>697701.52999999991</v>
      </c>
      <c r="H270" s="42">
        <f t="shared" si="11"/>
        <v>327068.69999999995</v>
      </c>
      <c r="I270" s="42">
        <f t="shared" si="11"/>
        <v>171869.97999999998</v>
      </c>
      <c r="J270" s="42">
        <f t="shared" si="11"/>
        <v>54053.02</v>
      </c>
      <c r="K270" s="42">
        <f t="shared" si="11"/>
        <v>25151.21</v>
      </c>
      <c r="L270" s="42">
        <f t="shared" si="11"/>
        <v>2682810.67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77285.289999999994</v>
      </c>
      <c r="G275" s="18">
        <v>11106.68</v>
      </c>
      <c r="H275" s="18"/>
      <c r="I275" s="18">
        <v>1320.35</v>
      </c>
      <c r="J275" s="18">
        <v>2696.24</v>
      </c>
      <c r="K275" s="18"/>
      <c r="L275" s="19">
        <f>SUM(F275:K275)</f>
        <v>92408.560000000012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1920</v>
      </c>
      <c r="G278" s="18">
        <v>372.4</v>
      </c>
      <c r="H278" s="18"/>
      <c r="I278" s="18"/>
      <c r="J278" s="18"/>
      <c r="K278" s="18"/>
      <c r="L278" s="19">
        <f>SUM(F278:K278)</f>
        <v>2292.4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10328.93</v>
      </c>
      <c r="I281" s="18">
        <v>7229.63</v>
      </c>
      <c r="J281" s="18">
        <v>2099.88</v>
      </c>
      <c r="K281" s="18"/>
      <c r="L281" s="19">
        <f t="shared" si="12"/>
        <v>19658.440000000002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1612.53</v>
      </c>
      <c r="L282" s="19">
        <f t="shared" si="12"/>
        <v>1612.53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79205.289999999994</v>
      </c>
      <c r="G289" s="42">
        <f t="shared" si="13"/>
        <v>11479.08</v>
      </c>
      <c r="H289" s="42">
        <f t="shared" si="13"/>
        <v>10328.93</v>
      </c>
      <c r="I289" s="42">
        <f t="shared" si="13"/>
        <v>8549.98</v>
      </c>
      <c r="J289" s="42">
        <f t="shared" si="13"/>
        <v>4796.12</v>
      </c>
      <c r="K289" s="42">
        <f t="shared" si="13"/>
        <v>1612.53</v>
      </c>
      <c r="L289" s="41">
        <f t="shared" si="13"/>
        <v>115971.93000000001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79205.289999999994</v>
      </c>
      <c r="G337" s="41">
        <f t="shared" si="20"/>
        <v>11479.08</v>
      </c>
      <c r="H337" s="41">
        <f t="shared" si="20"/>
        <v>10328.93</v>
      </c>
      <c r="I337" s="41">
        <f t="shared" si="20"/>
        <v>8549.98</v>
      </c>
      <c r="J337" s="41">
        <f t="shared" si="20"/>
        <v>4796.12</v>
      </c>
      <c r="K337" s="41">
        <f t="shared" si="20"/>
        <v>1612.53</v>
      </c>
      <c r="L337" s="41">
        <f t="shared" si="20"/>
        <v>115971.93000000001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79205.289999999994</v>
      </c>
      <c r="G351" s="41">
        <f>G337</f>
        <v>11479.08</v>
      </c>
      <c r="H351" s="41">
        <f>H337</f>
        <v>10328.93</v>
      </c>
      <c r="I351" s="41">
        <f>I337</f>
        <v>8549.98</v>
      </c>
      <c r="J351" s="41">
        <f>J337</f>
        <v>4796.12</v>
      </c>
      <c r="K351" s="47">
        <f>K337+K350</f>
        <v>1612.53</v>
      </c>
      <c r="L351" s="41">
        <f>L337+L350</f>
        <v>115971.93000000001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26295.36+15257.6</f>
        <v>41552.959999999999</v>
      </c>
      <c r="G357" s="18">
        <f>8071.37+597.65+1919.19+2313.99+204.4+7494.27+248.4+506.23+1022.44</f>
        <v>22377.940000000002</v>
      </c>
      <c r="H357" s="18"/>
      <c r="I357" s="18">
        <f>1642.4+27684.74</f>
        <v>29327.140000000003</v>
      </c>
      <c r="J357" s="18"/>
      <c r="K357" s="18"/>
      <c r="L357" s="13">
        <f>SUM(F357:K357)</f>
        <v>93258.040000000008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41552.959999999999</v>
      </c>
      <c r="G361" s="47">
        <f t="shared" si="22"/>
        <v>22377.940000000002</v>
      </c>
      <c r="H361" s="47">
        <f t="shared" si="22"/>
        <v>0</v>
      </c>
      <c r="I361" s="47">
        <f t="shared" si="22"/>
        <v>29327.140000000003</v>
      </c>
      <c r="J361" s="47">
        <f t="shared" si="22"/>
        <v>0</v>
      </c>
      <c r="K361" s="47">
        <f t="shared" si="22"/>
        <v>0</v>
      </c>
      <c r="L361" s="47">
        <f t="shared" si="22"/>
        <v>93258.040000000008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27684.74</v>
      </c>
      <c r="G366" s="18"/>
      <c r="H366" s="18"/>
      <c r="I366" s="56">
        <f>SUM(F366:H366)</f>
        <v>27684.74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1642.4</v>
      </c>
      <c r="G367" s="63"/>
      <c r="H367" s="63"/>
      <c r="I367" s="56">
        <f>SUM(F367:H367)</f>
        <v>1642.4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29327.140000000003</v>
      </c>
      <c r="G368" s="47">
        <f>SUM(G366:G367)</f>
        <v>0</v>
      </c>
      <c r="H368" s="47">
        <f>SUM(H366:H367)</f>
        <v>0</v>
      </c>
      <c r="I368" s="47">
        <f>SUM(I366:I367)</f>
        <v>29327.140000000003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183.78</v>
      </c>
      <c r="G378" s="18"/>
      <c r="H378" s="18">
        <v>6610.15</v>
      </c>
      <c r="I378" s="18">
        <v>1096.26</v>
      </c>
      <c r="J378" s="18">
        <v>62281.26</v>
      </c>
      <c r="K378" s="18"/>
      <c r="L378" s="13">
        <f t="shared" si="23"/>
        <v>70171.45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183.78</v>
      </c>
      <c r="G381" s="139">
        <f t="shared" ref="G381:L381" si="24">SUM(G373:G380)</f>
        <v>0</v>
      </c>
      <c r="H381" s="139">
        <f t="shared" si="24"/>
        <v>6610.15</v>
      </c>
      <c r="I381" s="41">
        <f t="shared" si="24"/>
        <v>1096.26</v>
      </c>
      <c r="J381" s="47">
        <f t="shared" si="24"/>
        <v>62281.26</v>
      </c>
      <c r="K381" s="47">
        <f t="shared" si="24"/>
        <v>0</v>
      </c>
      <c r="L381" s="47">
        <f t="shared" si="24"/>
        <v>70171.45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33.61</v>
      </c>
      <c r="I394" s="18"/>
      <c r="J394" s="24" t="s">
        <v>289</v>
      </c>
      <c r="K394" s="24" t="s">
        <v>289</v>
      </c>
      <c r="L394" s="56">
        <f t="shared" ref="L394:L399" si="26">SUM(F394:K394)</f>
        <v>33.61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244.21</v>
      </c>
      <c r="I396" s="18"/>
      <c r="J396" s="24" t="s">
        <v>289</v>
      </c>
      <c r="K396" s="24" t="s">
        <v>289</v>
      </c>
      <c r="L396" s="56">
        <f t="shared" si="26"/>
        <v>244.21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277.82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277.82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277.82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277.82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111381.53</v>
      </c>
      <c r="H438" s="18"/>
      <c r="I438" s="56">
        <f t="shared" ref="I438:I444" si="33">SUM(F438:H438)</f>
        <v>111381.53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111381.53</v>
      </c>
      <c r="H445" s="13">
        <f>SUM(H438:H444)</f>
        <v>0</v>
      </c>
      <c r="I445" s="13">
        <f>SUM(I438:I444)</f>
        <v>111381.53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111381.53</v>
      </c>
      <c r="H458" s="18"/>
      <c r="I458" s="56">
        <f t="shared" si="34"/>
        <v>111381.53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111381.53</v>
      </c>
      <c r="H459" s="83">
        <f>SUM(H453:H458)</f>
        <v>0</v>
      </c>
      <c r="I459" s="83">
        <f>SUM(I453:I458)</f>
        <v>111381.53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111381.53</v>
      </c>
      <c r="H460" s="42">
        <f>H451+H459</f>
        <v>0</v>
      </c>
      <c r="I460" s="42">
        <f>I451+I459</f>
        <v>111381.53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131345.41</v>
      </c>
      <c r="G464" s="18">
        <v>4350.42</v>
      </c>
      <c r="H464" s="18">
        <v>6787.65</v>
      </c>
      <c r="I464" s="18"/>
      <c r="J464" s="18">
        <v>111103.71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2680467.23</v>
      </c>
      <c r="G467" s="18">
        <v>88586.53</v>
      </c>
      <c r="H467" s="18">
        <f>112445.19</f>
        <v>112445.19</v>
      </c>
      <c r="I467" s="18">
        <f>71666.45-1495</f>
        <v>70171.45</v>
      </c>
      <c r="J467" s="18">
        <v>277.82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2680467.23</v>
      </c>
      <c r="G469" s="53">
        <f>SUM(G467:G468)</f>
        <v>88586.53</v>
      </c>
      <c r="H469" s="53">
        <f>SUM(H467:H468)</f>
        <v>112445.19</v>
      </c>
      <c r="I469" s="53">
        <f>SUM(I467:I468)</f>
        <v>70171.45</v>
      </c>
      <c r="J469" s="53">
        <f>SUM(J467:J468)</f>
        <v>277.82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2682810.67</v>
      </c>
      <c r="G471" s="18">
        <v>93258.04</v>
      </c>
      <c r="H471" s="18">
        <f>112445.19+2879.33+647.41</f>
        <v>115971.93000000001</v>
      </c>
      <c r="I471" s="18">
        <v>70171.45</v>
      </c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2682810.67</v>
      </c>
      <c r="G473" s="53">
        <f>SUM(G471:G472)</f>
        <v>93258.04</v>
      </c>
      <c r="H473" s="53">
        <f>SUM(H471:H472)</f>
        <v>115971.93000000001</v>
      </c>
      <c r="I473" s="53">
        <f>SUM(I471:I472)</f>
        <v>70171.45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129001.9700000002</v>
      </c>
      <c r="G475" s="53">
        <f>(G464+G469)- G473</f>
        <v>-321.08999999999651</v>
      </c>
      <c r="H475" s="53">
        <f>(H464+H469)- H473</f>
        <v>3260.9099999999889</v>
      </c>
      <c r="I475" s="53">
        <f>(I464+I469)- I473</f>
        <v>0</v>
      </c>
      <c r="J475" s="53">
        <f>(J464+J469)- J473</f>
        <v>111381.53000000001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112264.85</v>
      </c>
      <c r="G520" s="18">
        <v>54554.6</v>
      </c>
      <c r="H520" s="18">
        <v>19054.939999999999</v>
      </c>
      <c r="I520" s="18">
        <v>1457.21</v>
      </c>
      <c r="J520" s="18"/>
      <c r="K520" s="18">
        <v>125</v>
      </c>
      <c r="L520" s="88">
        <f>SUM(F520:K520)</f>
        <v>187456.6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112264.85</v>
      </c>
      <c r="G523" s="108">
        <f t="shared" ref="G523:L523" si="36">SUM(G520:G522)</f>
        <v>54554.6</v>
      </c>
      <c r="H523" s="108">
        <f t="shared" si="36"/>
        <v>19054.939999999999</v>
      </c>
      <c r="I523" s="108">
        <f t="shared" si="36"/>
        <v>1457.21</v>
      </c>
      <c r="J523" s="108">
        <f t="shared" si="36"/>
        <v>0</v>
      </c>
      <c r="K523" s="108">
        <f t="shared" si="36"/>
        <v>125</v>
      </c>
      <c r="L523" s="89">
        <f t="shared" si="36"/>
        <v>187456.6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33896.49</v>
      </c>
      <c r="G525" s="18">
        <v>12136.81</v>
      </c>
      <c r="H525" s="18">
        <v>45890.33</v>
      </c>
      <c r="I525" s="18">
        <v>1744.46</v>
      </c>
      <c r="J525" s="18">
        <v>175.83</v>
      </c>
      <c r="K525" s="18">
        <v>42</v>
      </c>
      <c r="L525" s="88">
        <f>SUM(F525:K525)</f>
        <v>93885.920000000013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33896.49</v>
      </c>
      <c r="G528" s="89">
        <f t="shared" ref="G528:L528" si="37">SUM(G525:G527)</f>
        <v>12136.81</v>
      </c>
      <c r="H528" s="89">
        <f t="shared" si="37"/>
        <v>45890.33</v>
      </c>
      <c r="I528" s="89">
        <f t="shared" si="37"/>
        <v>1744.46</v>
      </c>
      <c r="J528" s="89">
        <f t="shared" si="37"/>
        <v>175.83</v>
      </c>
      <c r="K528" s="89">
        <f t="shared" si="37"/>
        <v>42</v>
      </c>
      <c r="L528" s="89">
        <f t="shared" si="37"/>
        <v>93885.920000000013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12684.78</v>
      </c>
      <c r="I530" s="18"/>
      <c r="J530" s="18"/>
      <c r="K530" s="18"/>
      <c r="L530" s="88">
        <f>SUM(F530:K530)</f>
        <v>12684.78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12684.78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12684.78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307.5</v>
      </c>
      <c r="I535" s="18"/>
      <c r="J535" s="18"/>
      <c r="K535" s="18"/>
      <c r="L535" s="88">
        <f>SUM(F535:K535)</f>
        <v>307.5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307.5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307.5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13480.6</v>
      </c>
      <c r="I540" s="18"/>
      <c r="J540" s="18"/>
      <c r="K540" s="18"/>
      <c r="L540" s="88">
        <f>SUM(F540:K540)</f>
        <v>13480.6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13480.6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13480.6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146161.34</v>
      </c>
      <c r="G544" s="89">
        <f t="shared" ref="G544:L544" si="41">G523+G528+G533+G538+G543</f>
        <v>66691.41</v>
      </c>
      <c r="H544" s="89">
        <f t="shared" si="41"/>
        <v>91418.150000000009</v>
      </c>
      <c r="I544" s="89">
        <f t="shared" si="41"/>
        <v>3201.67</v>
      </c>
      <c r="J544" s="89">
        <f t="shared" si="41"/>
        <v>175.83</v>
      </c>
      <c r="K544" s="89">
        <f t="shared" si="41"/>
        <v>167</v>
      </c>
      <c r="L544" s="89">
        <f t="shared" si="41"/>
        <v>307815.40000000002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187456.6</v>
      </c>
      <c r="G548" s="87">
        <f>L525</f>
        <v>93885.920000000013</v>
      </c>
      <c r="H548" s="87">
        <f>L530</f>
        <v>12684.78</v>
      </c>
      <c r="I548" s="87">
        <f>L535</f>
        <v>307.5</v>
      </c>
      <c r="J548" s="87">
        <f>L540</f>
        <v>13480.6</v>
      </c>
      <c r="K548" s="87">
        <f>SUM(F548:J548)</f>
        <v>307815.40000000002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187456.6</v>
      </c>
      <c r="G551" s="89">
        <f t="shared" si="42"/>
        <v>93885.920000000013</v>
      </c>
      <c r="H551" s="89">
        <f t="shared" si="42"/>
        <v>12684.78</v>
      </c>
      <c r="I551" s="89">
        <f t="shared" si="42"/>
        <v>307.5</v>
      </c>
      <c r="J551" s="89">
        <f t="shared" si="42"/>
        <v>13480.6</v>
      </c>
      <c r="K551" s="89">
        <f t="shared" si="42"/>
        <v>307815.40000000002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15927.02</v>
      </c>
      <c r="G581" s="18"/>
      <c r="H581" s="18"/>
      <c r="I581" s="87">
        <f t="shared" si="47"/>
        <v>15927.02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41098</v>
      </c>
      <c r="I590" s="18"/>
      <c r="J590" s="18"/>
      <c r="K590" s="104">
        <f t="shared" ref="K590:K596" si="48">SUM(H590:J590)</f>
        <v>41098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13480.6</v>
      </c>
      <c r="I591" s="18"/>
      <c r="J591" s="18"/>
      <c r="K591" s="104">
        <f t="shared" si="48"/>
        <v>13480.6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3860</v>
      </c>
      <c r="I593" s="18"/>
      <c r="J593" s="18"/>
      <c r="K593" s="104">
        <f t="shared" si="48"/>
        <v>3860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4690</v>
      </c>
      <c r="I594" s="18"/>
      <c r="J594" s="18"/>
      <c r="K594" s="104">
        <f t="shared" si="48"/>
        <v>4690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63128.6</v>
      </c>
      <c r="I597" s="108">
        <f>SUM(I590:I596)</f>
        <v>0</v>
      </c>
      <c r="J597" s="108">
        <f>SUM(J590:J596)</f>
        <v>0</v>
      </c>
      <c r="K597" s="108">
        <f>SUM(K590:K596)</f>
        <v>63128.6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58849.14</v>
      </c>
      <c r="I603" s="18"/>
      <c r="J603" s="18"/>
      <c r="K603" s="104">
        <f>SUM(H603:J603)</f>
        <v>58849.14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58849.14</v>
      </c>
      <c r="I604" s="108">
        <f>SUM(I601:I603)</f>
        <v>0</v>
      </c>
      <c r="J604" s="108">
        <f>SUM(J601:J603)</f>
        <v>0</v>
      </c>
      <c r="K604" s="108">
        <f>SUM(K601:K603)</f>
        <v>58849.14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1920</v>
      </c>
      <c r="G610" s="18">
        <f>145.45+216.95+10</f>
        <v>372.4</v>
      </c>
      <c r="H610" s="18"/>
      <c r="I610" s="18"/>
      <c r="J610" s="18"/>
      <c r="K610" s="18"/>
      <c r="L610" s="88">
        <f>SUM(F610:K610)</f>
        <v>2292.4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1920</v>
      </c>
      <c r="G613" s="108">
        <f t="shared" si="49"/>
        <v>372.4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2292.4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1220436.56</v>
      </c>
      <c r="H616" s="109">
        <f>SUM(F51)</f>
        <v>1220436.56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398672.41000000003</v>
      </c>
      <c r="H617" s="109">
        <f>SUM(G51)</f>
        <v>398672.41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624129.22</v>
      </c>
      <c r="H618" s="109">
        <f>SUM(H51)</f>
        <v>624129.22000000009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70171.45</v>
      </c>
      <c r="H619" s="109">
        <f>SUM(I51)</f>
        <v>70171.45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111381.53</v>
      </c>
      <c r="H620" s="109">
        <f>SUM(J51)</f>
        <v>111381.53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129001.97</v>
      </c>
      <c r="H621" s="109">
        <f>F475</f>
        <v>129001.9700000002</v>
      </c>
      <c r="I621" s="121" t="s">
        <v>101</v>
      </c>
      <c r="J621" s="109">
        <f t="shared" ref="J621:J654" si="50">G621-H621</f>
        <v>-2.0372681319713593E-10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-321.08999999999997</v>
      </c>
      <c r="H622" s="109">
        <f>G475</f>
        <v>-321.08999999999651</v>
      </c>
      <c r="I622" s="121" t="s">
        <v>102</v>
      </c>
      <c r="J622" s="109">
        <f t="shared" si="50"/>
        <v>-3.4674485505092889E-12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3260.91</v>
      </c>
      <c r="H623" s="109">
        <f>H475</f>
        <v>3260.9099999999889</v>
      </c>
      <c r="I623" s="121" t="s">
        <v>103</v>
      </c>
      <c r="J623" s="109">
        <f t="shared" si="50"/>
        <v>1.0913936421275139E-11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111381.53</v>
      </c>
      <c r="H625" s="109">
        <f>J475</f>
        <v>111381.53000000001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2680467.2299999995</v>
      </c>
      <c r="H626" s="104">
        <f>SUM(F467)</f>
        <v>2680467.23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88586.53</v>
      </c>
      <c r="H627" s="104">
        <f>SUM(G467)</f>
        <v>88586.53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112445.19</v>
      </c>
      <c r="H628" s="104">
        <f>SUM(H467)</f>
        <v>112445.19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70171.45</v>
      </c>
      <c r="H629" s="104">
        <f>SUM(I467)</f>
        <v>70171.45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277.82</v>
      </c>
      <c r="H630" s="104">
        <f>SUM(J467)</f>
        <v>277.82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2682810.67</v>
      </c>
      <c r="H631" s="104">
        <f>SUM(F471)</f>
        <v>2682810.67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115971.93000000001</v>
      </c>
      <c r="H632" s="104">
        <f>SUM(H471)</f>
        <v>115971.93000000001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29327.140000000003</v>
      </c>
      <c r="H633" s="104">
        <f>I368</f>
        <v>29327.140000000003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93258.040000000008</v>
      </c>
      <c r="H634" s="104">
        <f>SUM(G471)</f>
        <v>93258.04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70171.45</v>
      </c>
      <c r="H635" s="104">
        <f>SUM(I471)</f>
        <v>70171.45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277.82</v>
      </c>
      <c r="H636" s="164">
        <f>SUM(J467)</f>
        <v>277.82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111381.53</v>
      </c>
      <c r="H639" s="104">
        <f>SUM(G460)</f>
        <v>111381.53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111381.53</v>
      </c>
      <c r="H641" s="104">
        <f>SUM(I460)</f>
        <v>111381.53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277.82</v>
      </c>
      <c r="H643" s="104">
        <f>H407</f>
        <v>277.82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277.82</v>
      </c>
      <c r="H645" s="104">
        <f>L407</f>
        <v>277.82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63128.6</v>
      </c>
      <c r="H646" s="104">
        <f>L207+L225+L243</f>
        <v>63128.6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58849.14</v>
      </c>
      <c r="H647" s="104">
        <f>(J256+J337)-(J254+J335)</f>
        <v>58849.14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63128.6</v>
      </c>
      <c r="H648" s="104">
        <f>H597</f>
        <v>63128.6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20000</v>
      </c>
      <c r="H651" s="104">
        <f>K262+K344</f>
        <v>20000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2872040.64</v>
      </c>
      <c r="G659" s="19">
        <f>(L228+L308+L358)</f>
        <v>0</v>
      </c>
      <c r="H659" s="19">
        <f>(L246+L327+L359)</f>
        <v>0</v>
      </c>
      <c r="I659" s="19">
        <f>SUM(F659:H659)</f>
        <v>2872040.64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20217.349999999999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20217.349999999999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63128.6</v>
      </c>
      <c r="G661" s="19">
        <f>(L225+L305)-(J225+J305)</f>
        <v>0</v>
      </c>
      <c r="H661" s="19">
        <f>(L243+L324)-(J243+J324)</f>
        <v>0</v>
      </c>
      <c r="I661" s="19">
        <f>SUM(F661:H661)</f>
        <v>63128.6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77068.56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77068.56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2711626.13</v>
      </c>
      <c r="G663" s="19">
        <f>G659-SUM(G660:G662)</f>
        <v>0</v>
      </c>
      <c r="H663" s="19">
        <f>H659-SUM(H660:H662)</f>
        <v>0</v>
      </c>
      <c r="I663" s="19">
        <f>I659-SUM(I660:I662)</f>
        <v>2711626.13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162.83000000000001</v>
      </c>
      <c r="G664" s="248"/>
      <c r="H664" s="248"/>
      <c r="I664" s="19">
        <f>SUM(F664:H664)</f>
        <v>162.83000000000001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16653.11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16653.11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16653.11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16653.11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1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ASHLAND SD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956605.77</v>
      </c>
      <c r="C9" s="229">
        <f>'DOE25'!G196+'DOE25'!G214+'DOE25'!G232+'DOE25'!G275+'DOE25'!G294+'DOE25'!G313</f>
        <v>494042.79</v>
      </c>
    </row>
    <row r="10" spans="1:3" x14ac:dyDescent="0.2">
      <c r="A10" t="s">
        <v>779</v>
      </c>
      <c r="B10" s="240">
        <v>903493.09</v>
      </c>
      <c r="C10" s="240">
        <f>453636.15+29337.64</f>
        <v>482973.79000000004</v>
      </c>
    </row>
    <row r="11" spans="1:3" x14ac:dyDescent="0.2">
      <c r="A11" t="s">
        <v>780</v>
      </c>
      <c r="B11" s="240">
        <v>34534.28</v>
      </c>
      <c r="C11" s="240">
        <f>3828.63+112</f>
        <v>3940.63</v>
      </c>
    </row>
    <row r="12" spans="1:3" x14ac:dyDescent="0.2">
      <c r="A12" t="s">
        <v>781</v>
      </c>
      <c r="B12" s="240">
        <v>18578.400000000001</v>
      </c>
      <c r="C12" s="240">
        <v>7128.37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956605.77</v>
      </c>
      <c r="C13" s="231">
        <f>SUM(C10:C12)</f>
        <v>494042.79000000004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112264.85</v>
      </c>
      <c r="C18" s="229">
        <f>'DOE25'!G197+'DOE25'!G215+'DOE25'!G233+'DOE25'!G276+'DOE25'!G295+'DOE25'!G314</f>
        <v>54554.6</v>
      </c>
    </row>
    <row r="19" spans="1:3" x14ac:dyDescent="0.2">
      <c r="A19" t="s">
        <v>779</v>
      </c>
      <c r="B19" s="240">
        <f>51573+1920</f>
        <v>53493</v>
      </c>
      <c r="C19" s="240">
        <f>31636.53+28.8+1000+112</f>
        <v>32777.33</v>
      </c>
    </row>
    <row r="20" spans="1:3" x14ac:dyDescent="0.2">
      <c r="A20" t="s">
        <v>780</v>
      </c>
      <c r="B20" s="240">
        <f>57771.85+1000</f>
        <v>58771.85</v>
      </c>
      <c r="C20" s="240">
        <v>21777.27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112264.85</v>
      </c>
      <c r="C22" s="231">
        <f>SUM(C19:C21)</f>
        <v>54554.600000000006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28370</v>
      </c>
      <c r="C36" s="235">
        <f>'DOE25'!G199+'DOE25'!G217+'DOE25'!G235+'DOE25'!G278+'DOE25'!G297+'DOE25'!G316</f>
        <v>5075.9799999999996</v>
      </c>
    </row>
    <row r="37" spans="1:3" x14ac:dyDescent="0.2">
      <c r="A37" t="s">
        <v>779</v>
      </c>
      <c r="B37" s="240">
        <v>1920</v>
      </c>
      <c r="C37" s="240">
        <v>372.4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26450</v>
      </c>
      <c r="C39" s="240">
        <v>4703.58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28370</v>
      </c>
      <c r="C40" s="231">
        <f>SUM(C37:C39)</f>
        <v>5075.9799999999996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3" activePane="bottomLeft" state="frozen"/>
      <selection pane="bottomLeft" activeCell="E38" sqref="E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ASHLAND SD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1651350.5199999998</v>
      </c>
      <c r="D5" s="20">
        <f>SUM('DOE25'!L196:L199)+SUM('DOE25'!L214:L217)+SUM('DOE25'!L232:L235)-F5-G5</f>
        <v>1640568.13</v>
      </c>
      <c r="E5" s="243"/>
      <c r="F5" s="255">
        <f>SUM('DOE25'!J196:J199)+SUM('DOE25'!J214:J217)+SUM('DOE25'!J232:J235)</f>
        <v>10132.39</v>
      </c>
      <c r="G5" s="53">
        <f>SUM('DOE25'!K196:K199)+SUM('DOE25'!K214:K217)+SUM('DOE25'!K232:K235)</f>
        <v>650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228669.46999999997</v>
      </c>
      <c r="D6" s="20">
        <f>'DOE25'!L201+'DOE25'!L219+'DOE25'!L237-F6-G6</f>
        <v>228283.63999999998</v>
      </c>
      <c r="E6" s="243"/>
      <c r="F6" s="255">
        <f>'DOE25'!J201+'DOE25'!J219+'DOE25'!J237</f>
        <v>175.83</v>
      </c>
      <c r="G6" s="53">
        <f>'DOE25'!K201+'DOE25'!K219+'DOE25'!K237</f>
        <v>210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150401.38999999998</v>
      </c>
      <c r="D7" s="20">
        <f>'DOE25'!L202+'DOE25'!L220+'DOE25'!L238-F7-G7</f>
        <v>125192.38999999998</v>
      </c>
      <c r="E7" s="243"/>
      <c r="F7" s="255">
        <f>'DOE25'!J202+'DOE25'!J220+'DOE25'!J238</f>
        <v>25160</v>
      </c>
      <c r="G7" s="53">
        <f>'DOE25'!K202+'DOE25'!K220+'DOE25'!K238</f>
        <v>49</v>
      </c>
      <c r="H7" s="259"/>
    </row>
    <row r="8" spans="1:9" x14ac:dyDescent="0.2">
      <c r="A8" s="32">
        <v>2300</v>
      </c>
      <c r="B8" t="s">
        <v>802</v>
      </c>
      <c r="C8" s="245">
        <f t="shared" si="0"/>
        <v>47642.55000000001</v>
      </c>
      <c r="D8" s="243"/>
      <c r="E8" s="20">
        <f>'DOE25'!L203+'DOE25'!L221+'DOE25'!L239-F8-G8-D9-D11</f>
        <v>44120.340000000011</v>
      </c>
      <c r="F8" s="255">
        <f>'DOE25'!J203+'DOE25'!J221+'DOE25'!J239</f>
        <v>0</v>
      </c>
      <c r="G8" s="53">
        <f>'DOE25'!K203+'DOE25'!K221+'DOE25'!K239</f>
        <v>3522.21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10986.88</v>
      </c>
      <c r="D9" s="244">
        <v>10986.88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8250</v>
      </c>
      <c r="D10" s="243"/>
      <c r="E10" s="244">
        <v>8250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31271.95</v>
      </c>
      <c r="D11" s="244">
        <v>31271.95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157989.90999999997</v>
      </c>
      <c r="D12" s="20">
        <f>'DOE25'!L204+'DOE25'!L222+'DOE25'!L240-F12-G12</f>
        <v>151942.91999999998</v>
      </c>
      <c r="E12" s="243"/>
      <c r="F12" s="255">
        <f>'DOE25'!J204+'DOE25'!J222+'DOE25'!J240</f>
        <v>5326.99</v>
      </c>
      <c r="G12" s="53">
        <f>'DOE25'!K204+'DOE25'!K222+'DOE25'!K240</f>
        <v>720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321369.39999999997</v>
      </c>
      <c r="D14" s="20">
        <f>'DOE25'!L206+'DOE25'!L224+'DOE25'!L242-F14-G14</f>
        <v>308111.58999999997</v>
      </c>
      <c r="E14" s="243"/>
      <c r="F14" s="255">
        <f>'DOE25'!J206+'DOE25'!J224+'DOE25'!J242</f>
        <v>13257.81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63128.6</v>
      </c>
      <c r="D15" s="20">
        <f>'DOE25'!L207+'DOE25'!L225+'DOE25'!L243-F15-G15</f>
        <v>63128.6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65573.3</v>
      </c>
      <c r="D29" s="20">
        <f>'DOE25'!L357+'DOE25'!L358+'DOE25'!L359-'DOE25'!I366-F29-G29</f>
        <v>65573.3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115971.93000000001</v>
      </c>
      <c r="D31" s="20">
        <f>'DOE25'!L289+'DOE25'!L308+'DOE25'!L327+'DOE25'!L332+'DOE25'!L333+'DOE25'!L334-F31-G31</f>
        <v>109563.28000000001</v>
      </c>
      <c r="E31" s="243"/>
      <c r="F31" s="255">
        <f>'DOE25'!J289+'DOE25'!J308+'DOE25'!J327+'DOE25'!J332+'DOE25'!J333+'DOE25'!J334</f>
        <v>4796.12</v>
      </c>
      <c r="G31" s="53">
        <f>'DOE25'!K289+'DOE25'!K308+'DOE25'!K327+'DOE25'!K332+'DOE25'!K333+'DOE25'!K334</f>
        <v>1612.53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2734622.6799999992</v>
      </c>
      <c r="E33" s="246">
        <f>SUM(E5:E31)</f>
        <v>52370.340000000011</v>
      </c>
      <c r="F33" s="246">
        <f>SUM(F5:F31)</f>
        <v>58849.14</v>
      </c>
      <c r="G33" s="246">
        <f>SUM(G5:G31)</f>
        <v>6763.74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52370.340000000011</v>
      </c>
      <c r="E35" s="249"/>
    </row>
    <row r="36" spans="2:8" ht="12" thickTop="1" x14ac:dyDescent="0.2">
      <c r="B36" t="s">
        <v>815</v>
      </c>
      <c r="D36" s="20">
        <f>D33</f>
        <v>2734622.6799999992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75" zoomScaleNormal="75" workbookViewId="0">
      <pane ySplit="2" topLeftCell="A3" activePane="bottomLeft" state="frozen"/>
      <selection pane="bottomLeft" activeCell="D46" sqref="D4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ASHLAND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121489.47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111381.53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1090033.0900000001</v>
      </c>
      <c r="D11" s="95">
        <f>'DOE25'!G12</f>
        <v>391390.27</v>
      </c>
      <c r="E11" s="95">
        <f>'DOE25'!H12</f>
        <v>612442.23</v>
      </c>
      <c r="F11" s="95">
        <f>'DOE25'!I12</f>
        <v>70171.45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8646.16</v>
      </c>
      <c r="D12" s="95">
        <f>'DOE25'!G13</f>
        <v>7591.39</v>
      </c>
      <c r="E12" s="95">
        <f>'DOE25'!H13</f>
        <v>11686.99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267.83999999999997</v>
      </c>
      <c r="D13" s="95">
        <f>'DOE25'!G14</f>
        <v>-309.25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1220436.56</v>
      </c>
      <c r="D18" s="41">
        <f>SUM(D8:D17)</f>
        <v>398672.41000000003</v>
      </c>
      <c r="E18" s="41">
        <f>SUM(E8:E17)</f>
        <v>624129.22</v>
      </c>
      <c r="F18" s="41">
        <f>SUM(F8:F17)</f>
        <v>70171.45</v>
      </c>
      <c r="G18" s="41">
        <f>SUM(G8:G17)</f>
        <v>111381.53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1074003.95</v>
      </c>
      <c r="D21" s="95">
        <f>'DOE25'!G22</f>
        <v>398993.5</v>
      </c>
      <c r="E21" s="95">
        <f>'DOE25'!H22</f>
        <v>620868.14</v>
      </c>
      <c r="F21" s="95">
        <f>'DOE25'!I22</f>
        <v>70171.45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10502.12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3817.23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2811.29</v>
      </c>
      <c r="D29" s="95">
        <f>'DOE25'!G30</f>
        <v>0</v>
      </c>
      <c r="E29" s="95">
        <f>'DOE25'!H30</f>
        <v>0.17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1091434.5900000001</v>
      </c>
      <c r="D31" s="41">
        <f>SUM(D21:D30)</f>
        <v>398993.5</v>
      </c>
      <c r="E31" s="41">
        <f>SUM(E21:E30)</f>
        <v>620868.31000000006</v>
      </c>
      <c r="F31" s="41">
        <f>SUM(F21:F30)</f>
        <v>70171.45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-321.08999999999997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'DOE25'!F48</f>
        <v>109554.71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3260.91</v>
      </c>
      <c r="F46" s="95">
        <f>'DOE25'!I47</f>
        <v>0</v>
      </c>
      <c r="G46" s="95">
        <f>'DOE25'!J47</f>
        <v>111381.53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109554.71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19447.260000000002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238556.68000000002</v>
      </c>
      <c r="D49" s="41">
        <f>SUM(D34:D48)</f>
        <v>-321.08999999999997</v>
      </c>
      <c r="E49" s="41">
        <f>SUM(E34:E48)</f>
        <v>3260.91</v>
      </c>
      <c r="F49" s="41">
        <f>SUM(F34:F48)</f>
        <v>0</v>
      </c>
      <c r="G49" s="41">
        <f>SUM(G34:G48)</f>
        <v>111381.53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1329991.27</v>
      </c>
      <c r="D50" s="41">
        <f>D49+D31</f>
        <v>398672.41</v>
      </c>
      <c r="E50" s="41">
        <f>E49+E31</f>
        <v>624129.22000000009</v>
      </c>
      <c r="F50" s="41">
        <f>F49+F31</f>
        <v>70171.45</v>
      </c>
      <c r="G50" s="41">
        <f>G49+G31</f>
        <v>111381.53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1785864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356.25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277.82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20217.349999999999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2830.3900000000003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3186.6400000000003</v>
      </c>
      <c r="D61" s="130">
        <f>SUM(D56:D60)</f>
        <v>20217.349999999999</v>
      </c>
      <c r="E61" s="130">
        <f>SUM(E56:E60)</f>
        <v>0</v>
      </c>
      <c r="F61" s="130">
        <f>SUM(F56:F60)</f>
        <v>0</v>
      </c>
      <c r="G61" s="130">
        <f>SUM(G56:G60)</f>
        <v>277.82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1789050.64</v>
      </c>
      <c r="D62" s="22">
        <f>D55+D61</f>
        <v>20217.349999999999</v>
      </c>
      <c r="E62" s="22">
        <f>E55+E61</f>
        <v>0</v>
      </c>
      <c r="F62" s="22">
        <f>F55+F61</f>
        <v>0</v>
      </c>
      <c r="G62" s="22">
        <f>G55+G61</f>
        <v>277.82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494571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373640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868211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1119.5899999999999</v>
      </c>
      <c r="E76" s="95">
        <f>SUM('DOE25'!H130:H134)</f>
        <v>8441.8799999999992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1119.5899999999999</v>
      </c>
      <c r="E77" s="130">
        <f>SUM(E71:E76)</f>
        <v>8441.8799999999992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868211</v>
      </c>
      <c r="D80" s="130">
        <f>SUM(D78:D79)+D77+D69</f>
        <v>1119.5899999999999</v>
      </c>
      <c r="E80" s="130">
        <f>SUM(E78:E79)+E77+E69</f>
        <v>8441.8799999999992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22802.05</v>
      </c>
      <c r="D87" s="95">
        <f>SUM('DOE25'!G152:G160)</f>
        <v>47249.59</v>
      </c>
      <c r="E87" s="95">
        <f>SUM('DOE25'!H152:H160)</f>
        <v>104003.31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403.54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23205.59</v>
      </c>
      <c r="D90" s="131">
        <f>SUM(D84:D89)</f>
        <v>47249.59</v>
      </c>
      <c r="E90" s="131">
        <f>SUM(E84:E89)</f>
        <v>104003.31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20000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70171.45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20000</v>
      </c>
      <c r="E102" s="86">
        <f>SUM(E92:E101)</f>
        <v>0</v>
      </c>
      <c r="F102" s="86">
        <f>SUM(F92:F101)</f>
        <v>70171.45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2680467.2299999995</v>
      </c>
      <c r="D103" s="86">
        <f>D62+D80+D90+D102</f>
        <v>88586.53</v>
      </c>
      <c r="E103" s="86">
        <f>E62+E80+E90+E102</f>
        <v>112445.19</v>
      </c>
      <c r="F103" s="86">
        <f>F62+F80+F90+F102</f>
        <v>70171.45</v>
      </c>
      <c r="G103" s="86">
        <f>G62+G80+G102</f>
        <v>277.82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1426348.7799999998</v>
      </c>
      <c r="D108" s="24" t="s">
        <v>289</v>
      </c>
      <c r="E108" s="95">
        <f>('DOE25'!L275)+('DOE25'!L294)+('DOE25'!L313)</f>
        <v>92408.560000000012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187456.6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37545.14</v>
      </c>
      <c r="D111" s="24" t="s">
        <v>289</v>
      </c>
      <c r="E111" s="95">
        <f>+('DOE25'!L278)+('DOE25'!L297)+('DOE25'!L316)</f>
        <v>2292.4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1651350.5199999998</v>
      </c>
      <c r="D114" s="86">
        <f>SUM(D108:D113)</f>
        <v>0</v>
      </c>
      <c r="E114" s="86">
        <f>SUM(E108:E113)</f>
        <v>94700.96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228669.46999999997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150401.38999999998</v>
      </c>
      <c r="D118" s="24" t="s">
        <v>289</v>
      </c>
      <c r="E118" s="95">
        <f>+('DOE25'!L281)+('DOE25'!L300)+('DOE25'!L319)</f>
        <v>19658.440000000002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89901.380000000019</v>
      </c>
      <c r="D119" s="24" t="s">
        <v>289</v>
      </c>
      <c r="E119" s="95">
        <f>+('DOE25'!L282)+('DOE25'!L301)+('DOE25'!L320)</f>
        <v>1612.53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157989.90999999997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321369.39999999997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63128.6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93258.040000000008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1011460.1499999998</v>
      </c>
      <c r="D127" s="86">
        <f>SUM(D117:D126)</f>
        <v>93258.040000000008</v>
      </c>
      <c r="E127" s="86">
        <f>SUM(E117:E126)</f>
        <v>21270.97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70171.45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20000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277.82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-277.82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20000</v>
      </c>
      <c r="D143" s="141">
        <f>SUM(D129:D142)</f>
        <v>0</v>
      </c>
      <c r="E143" s="141">
        <f>SUM(E129:E142)</f>
        <v>0</v>
      </c>
      <c r="F143" s="141">
        <f>SUM(F129:F142)</f>
        <v>70171.45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2682810.6699999995</v>
      </c>
      <c r="D144" s="86">
        <f>(D114+D127+D143)</f>
        <v>93258.040000000008</v>
      </c>
      <c r="E144" s="86">
        <f>(E114+E127+E143)</f>
        <v>115971.93000000001</v>
      </c>
      <c r="F144" s="86">
        <f>(F114+F127+F143)</f>
        <v>70171.45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ASHLAND SD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16653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16653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1518757</v>
      </c>
      <c r="D10" s="182">
        <f>ROUND((C10/$C$28)*100,1)</f>
        <v>53.3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187457</v>
      </c>
      <c r="D11" s="182">
        <f>ROUND((C11/$C$28)*100,1)</f>
        <v>6.6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39838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228669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170060</v>
      </c>
      <c r="D16" s="182">
        <f t="shared" si="0"/>
        <v>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91514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157990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321369</v>
      </c>
      <c r="D20" s="182">
        <f t="shared" si="0"/>
        <v>11.3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63129</v>
      </c>
      <c r="D21" s="182">
        <f t="shared" si="0"/>
        <v>2.2000000000000002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73040.649999999994</v>
      </c>
      <c r="D27" s="182">
        <f t="shared" si="0"/>
        <v>2.6</v>
      </c>
    </row>
    <row r="28" spans="1:4" x14ac:dyDescent="0.2">
      <c r="B28" s="187" t="s">
        <v>723</v>
      </c>
      <c r="C28" s="180">
        <f>SUM(C10:C27)</f>
        <v>2851823.65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70171</v>
      </c>
    </row>
    <row r="30" spans="1:4" x14ac:dyDescent="0.2">
      <c r="B30" s="187" t="s">
        <v>729</v>
      </c>
      <c r="C30" s="180">
        <f>SUM(C28:C29)</f>
        <v>2921994.65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1785864</v>
      </c>
      <c r="D35" s="182">
        <f t="shared" ref="D35:D40" si="1">ROUND((C35/$C$41)*100,1)</f>
        <v>61.3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3464.4599999999627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868211</v>
      </c>
      <c r="D37" s="182">
        <f t="shared" si="1"/>
        <v>29.8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9561</v>
      </c>
      <c r="D38" s="182">
        <f t="shared" si="1"/>
        <v>0.3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174458</v>
      </c>
      <c r="D39" s="182">
        <f t="shared" si="1"/>
        <v>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70171</v>
      </c>
      <c r="D40" s="182">
        <f t="shared" si="1"/>
        <v>2.4</v>
      </c>
    </row>
    <row r="41" spans="1:4" x14ac:dyDescent="0.2">
      <c r="B41" s="187" t="s">
        <v>736</v>
      </c>
      <c r="C41" s="180">
        <f>SUM(C35:C40)</f>
        <v>2911729.46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ASHLAND SD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15</v>
      </c>
      <c r="B4" s="219">
        <v>17</v>
      </c>
      <c r="C4" s="284" t="s">
        <v>909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2013-09-06T12:03:02Z</cp:lastPrinted>
  <dcterms:created xsi:type="dcterms:W3CDTF">1997-12-04T19:04:30Z</dcterms:created>
  <dcterms:modified xsi:type="dcterms:W3CDTF">2013-09-18T13:18:00Z</dcterms:modified>
</cp:coreProperties>
</file>