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B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G287" i="1" l="1"/>
  <c r="F287" i="1"/>
  <c r="K284" i="1"/>
  <c r="H283" i="1"/>
  <c r="H281" i="1"/>
  <c r="I281" i="1"/>
  <c r="G281" i="1"/>
  <c r="F281" i="1"/>
  <c r="G280" i="1"/>
  <c r="F280" i="1"/>
  <c r="H280" i="1"/>
  <c r="I280" i="1"/>
  <c r="I276" i="1"/>
  <c r="H276" i="1"/>
  <c r="G276" i="1"/>
  <c r="F276" i="1"/>
  <c r="J275" i="1"/>
  <c r="H275" i="1"/>
  <c r="G275" i="1"/>
  <c r="F275" i="1"/>
  <c r="C37" i="10"/>
  <c r="F40" i="2" l="1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 s="1"/>
  <c r="G38" i="2" s="1"/>
  <c r="C67" i="2"/>
  <c r="B2" i="13"/>
  <c r="F8" i="13"/>
  <c r="G8" i="13"/>
  <c r="L203" i="1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F5" i="13"/>
  <c r="G5" i="13"/>
  <c r="L196" i="1"/>
  <c r="L197" i="1"/>
  <c r="L198" i="1"/>
  <c r="L199" i="1"/>
  <c r="L214" i="1"/>
  <c r="L215" i="1"/>
  <c r="L216" i="1"/>
  <c r="L217" i="1"/>
  <c r="L232" i="1"/>
  <c r="L233" i="1"/>
  <c r="L234" i="1"/>
  <c r="L235" i="1"/>
  <c r="F6" i="13"/>
  <c r="G6" i="13"/>
  <c r="L201" i="1"/>
  <c r="L219" i="1"/>
  <c r="L237" i="1"/>
  <c r="F7" i="13"/>
  <c r="G7" i="13"/>
  <c r="L202" i="1"/>
  <c r="L220" i="1"/>
  <c r="L238" i="1"/>
  <c r="F12" i="13"/>
  <c r="G12" i="13"/>
  <c r="L204" i="1"/>
  <c r="L222" i="1"/>
  <c r="L240" i="1"/>
  <c r="F14" i="13"/>
  <c r="G14" i="13"/>
  <c r="L206" i="1"/>
  <c r="L224" i="1"/>
  <c r="L242" i="1"/>
  <c r="F15" i="13"/>
  <c r="G15" i="13"/>
  <c r="L207" i="1"/>
  <c r="L225" i="1"/>
  <c r="L243" i="1"/>
  <c r="F17" i="13"/>
  <c r="G17" i="13"/>
  <c r="L250" i="1"/>
  <c r="F18" i="13"/>
  <c r="G18" i="13"/>
  <c r="L251" i="1"/>
  <c r="F19" i="13"/>
  <c r="G19" i="13"/>
  <c r="L252" i="1"/>
  <c r="F29" i="13"/>
  <c r="G29" i="13"/>
  <c r="L357" i="1"/>
  <c r="L358" i="1"/>
  <c r="L359" i="1"/>
  <c r="I366" i="1"/>
  <c r="J289" i="1"/>
  <c r="J308" i="1"/>
  <c r="J327" i="1"/>
  <c r="K289" i="1"/>
  <c r="K308" i="1"/>
  <c r="K327" i="1"/>
  <c r="L275" i="1"/>
  <c r="C10" i="10" s="1"/>
  <c r="L276" i="1"/>
  <c r="L277" i="1"/>
  <c r="C12" i="10" s="1"/>
  <c r="L278" i="1"/>
  <c r="L280" i="1"/>
  <c r="C15" i="10" s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L340" i="1"/>
  <c r="L341" i="1"/>
  <c r="L254" i="1"/>
  <c r="L335" i="1"/>
  <c r="C11" i="13"/>
  <c r="C10" i="13"/>
  <c r="C9" i="13"/>
  <c r="L360" i="1"/>
  <c r="L361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265" i="1"/>
  <c r="J59" i="1"/>
  <c r="G55" i="2" s="1"/>
  <c r="G58" i="2"/>
  <c r="G60" i="2"/>
  <c r="F2" i="11"/>
  <c r="L612" i="1"/>
  <c r="H662" i="1" s="1"/>
  <c r="L611" i="1"/>
  <c r="G662" i="1" s="1"/>
  <c r="L610" i="1"/>
  <c r="F662" i="1" s="1"/>
  <c r="C40" i="10"/>
  <c r="F59" i="1"/>
  <c r="G59" i="1"/>
  <c r="H59" i="1"/>
  <c r="I59" i="1"/>
  <c r="F78" i="1"/>
  <c r="F93" i="1"/>
  <c r="F110" i="1"/>
  <c r="G110" i="1"/>
  <c r="G111" i="1" s="1"/>
  <c r="H78" i="1"/>
  <c r="H93" i="1"/>
  <c r="H110" i="1"/>
  <c r="I110" i="1"/>
  <c r="I111" i="1" s="1"/>
  <c r="J110" i="1"/>
  <c r="J111" i="1" s="1"/>
  <c r="F120" i="1"/>
  <c r="F135" i="1"/>
  <c r="G120" i="1"/>
  <c r="G135" i="1"/>
  <c r="H120" i="1"/>
  <c r="H135" i="1"/>
  <c r="I120" i="1"/>
  <c r="I135" i="1"/>
  <c r="J120" i="1"/>
  <c r="J135" i="1"/>
  <c r="F146" i="1"/>
  <c r="F161" i="1"/>
  <c r="G146" i="1"/>
  <c r="G161" i="1"/>
  <c r="H146" i="1"/>
  <c r="H161" i="1"/>
  <c r="I146" i="1"/>
  <c r="I161" i="1"/>
  <c r="C11" i="10"/>
  <c r="C13" i="10"/>
  <c r="C16" i="10"/>
  <c r="C18" i="10"/>
  <c r="C19" i="10"/>
  <c r="C20" i="10"/>
  <c r="C21" i="10"/>
  <c r="L249" i="1"/>
  <c r="L331" i="1"/>
  <c r="C23" i="10" s="1"/>
  <c r="L253" i="1"/>
  <c r="C25" i="10"/>
  <c r="L267" i="1"/>
  <c r="L268" i="1"/>
  <c r="L348" i="1"/>
  <c r="L349" i="1"/>
  <c r="I664" i="1"/>
  <c r="I669" i="1"/>
  <c r="L228" i="1"/>
  <c r="L246" i="1"/>
  <c r="F660" i="1"/>
  <c r="H660" i="1"/>
  <c r="F661" i="1"/>
  <c r="G661" i="1"/>
  <c r="H661" i="1"/>
  <c r="I668" i="1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L520" i="1"/>
  <c r="F548" i="1" s="1"/>
  <c r="L521" i="1"/>
  <c r="F549" i="1" s="1"/>
  <c r="L522" i="1"/>
  <c r="F550" i="1" s="1"/>
  <c r="L525" i="1"/>
  <c r="G548" i="1" s="1"/>
  <c r="L526" i="1"/>
  <c r="G549" i="1" s="1"/>
  <c r="L527" i="1"/>
  <c r="G550" i="1" s="1"/>
  <c r="L530" i="1"/>
  <c r="H548" i="1" s="1"/>
  <c r="L531" i="1"/>
  <c r="H549" i="1" s="1"/>
  <c r="L532" i="1"/>
  <c r="H550" i="1" s="1"/>
  <c r="L535" i="1"/>
  <c r="I548" i="1" s="1"/>
  <c r="L536" i="1"/>
  <c r="I549" i="1" s="1"/>
  <c r="L537" i="1"/>
  <c r="I550" i="1" s="1"/>
  <c r="L540" i="1"/>
  <c r="J548" i="1" s="1"/>
  <c r="L541" i="1"/>
  <c r="J549" i="1" s="1"/>
  <c r="L542" i="1"/>
  <c r="J550" i="1" s="1"/>
  <c r="E131" i="2"/>
  <c r="E130" i="2"/>
  <c r="K269" i="1"/>
  <c r="J269" i="1"/>
  <c r="I269" i="1"/>
  <c r="H269" i="1"/>
  <c r="G269" i="1"/>
  <c r="F269" i="1"/>
  <c r="C131" i="2"/>
  <c r="C130" i="2"/>
  <c r="A1" i="2"/>
  <c r="A2" i="2"/>
  <c r="C8" i="2"/>
  <c r="D8" i="2"/>
  <c r="E8" i="2"/>
  <c r="F8" i="2"/>
  <c r="I438" i="1"/>
  <c r="J9" i="1" s="1"/>
  <c r="G8" i="2" s="1"/>
  <c r="C9" i="2"/>
  <c r="D9" i="2"/>
  <c r="E9" i="2"/>
  <c r="F9" i="2"/>
  <c r="I439" i="1"/>
  <c r="J10" i="1" s="1"/>
  <c r="G9" i="2" s="1"/>
  <c r="C10" i="2"/>
  <c r="C11" i="2"/>
  <c r="D11" i="2"/>
  <c r="E11" i="2"/>
  <c r="F11" i="2"/>
  <c r="I440" i="1"/>
  <c r="J12" i="1" s="1"/>
  <c r="G11" i="2" s="1"/>
  <c r="C12" i="2"/>
  <c r="D12" i="2"/>
  <c r="E12" i="2"/>
  <c r="F12" i="2"/>
  <c r="I441" i="1"/>
  <c r="J13" i="1" s="1"/>
  <c r="G12" i="2" s="1"/>
  <c r="C13" i="2"/>
  <c r="D13" i="2"/>
  <c r="E13" i="2"/>
  <c r="F13" i="2"/>
  <c r="I442" i="1"/>
  <c r="J14" i="1" s="1"/>
  <c r="G13" i="2" s="1"/>
  <c r="F14" i="2"/>
  <c r="C15" i="2"/>
  <c r="D15" i="2"/>
  <c r="E15" i="2"/>
  <c r="F15" i="2"/>
  <c r="C16" i="2"/>
  <c r="D16" i="2"/>
  <c r="E16" i="2"/>
  <c r="F16" i="2"/>
  <c r="I443" i="1"/>
  <c r="J17" i="1" s="1"/>
  <c r="C17" i="2"/>
  <c r="D17" i="2"/>
  <c r="E17" i="2"/>
  <c r="F17" i="2"/>
  <c r="I444" i="1"/>
  <c r="J18" i="1" s="1"/>
  <c r="G17" i="2" s="1"/>
  <c r="C21" i="2"/>
  <c r="D21" i="2"/>
  <c r="E21" i="2"/>
  <c r="F21" i="2"/>
  <c r="I447" i="1"/>
  <c r="J22" i="1" s="1"/>
  <c r="C22" i="2"/>
  <c r="D22" i="2"/>
  <c r="E22" i="2"/>
  <c r="F22" i="2"/>
  <c r="I448" i="1"/>
  <c r="J23" i="1" s="1"/>
  <c r="C23" i="2"/>
  <c r="D23" i="2"/>
  <c r="E23" i="2"/>
  <c r="F23" i="2"/>
  <c r="I449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 s="1"/>
  <c r="G47" i="2" s="1"/>
  <c r="I455" i="1"/>
  <c r="J43" i="1" s="1"/>
  <c r="I456" i="1"/>
  <c r="J37" i="1" s="1"/>
  <c r="I458" i="1"/>
  <c r="J47" i="1" s="1"/>
  <c r="G46" i="2" s="1"/>
  <c r="C48" i="2"/>
  <c r="C55" i="2"/>
  <c r="D55" i="2"/>
  <c r="E55" i="2"/>
  <c r="F55" i="2"/>
  <c r="C56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 s="1"/>
  <c r="E68" i="2"/>
  <c r="E69" i="2" s="1"/>
  <c r="F68" i="2"/>
  <c r="F69" i="2" s="1"/>
  <c r="G68" i="2"/>
  <c r="G69" i="2" s="1"/>
  <c r="C71" i="2"/>
  <c r="F71" i="2"/>
  <c r="C72" i="2"/>
  <c r="F72" i="2"/>
  <c r="C73" i="2"/>
  <c r="C74" i="2"/>
  <c r="C75" i="2"/>
  <c r="E75" i="2"/>
  <c r="F75" i="2"/>
  <c r="C76" i="2"/>
  <c r="D76" i="2"/>
  <c r="D77" i="2" s="1"/>
  <c r="E76" i="2"/>
  <c r="F76" i="2"/>
  <c r="G76" i="2"/>
  <c r="G77" i="2" s="1"/>
  <c r="C78" i="2"/>
  <c r="D78" i="2"/>
  <c r="E78" i="2"/>
  <c r="C79" i="2"/>
  <c r="E79" i="2"/>
  <c r="C84" i="2"/>
  <c r="D84" i="2"/>
  <c r="E84" i="2"/>
  <c r="F84" i="2"/>
  <c r="C86" i="2"/>
  <c r="E86" i="2"/>
  <c r="F86" i="2"/>
  <c r="C87" i="2"/>
  <c r="D87" i="2"/>
  <c r="E87" i="2"/>
  <c r="F87" i="2"/>
  <c r="C88" i="2"/>
  <c r="D88" i="2"/>
  <c r="E88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8" i="2"/>
  <c r="E108" i="2"/>
  <c r="C109" i="2"/>
  <c r="E109" i="2"/>
  <c r="C110" i="2"/>
  <c r="E110" i="2"/>
  <c r="C111" i="2"/>
  <c r="E111" i="2"/>
  <c r="C112" i="2"/>
  <c r="E112" i="2"/>
  <c r="C113" i="2"/>
  <c r="E113" i="2"/>
  <c r="D114" i="2"/>
  <c r="F114" i="2"/>
  <c r="G114" i="2"/>
  <c r="E117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D126" i="2"/>
  <c r="D127" i="2" s="1"/>
  <c r="F127" i="2"/>
  <c r="G127" i="2"/>
  <c r="C129" i="2"/>
  <c r="E129" i="2"/>
  <c r="F129" i="2"/>
  <c r="D133" i="2"/>
  <c r="D143" i="2" s="1"/>
  <c r="D144" i="2" s="1"/>
  <c r="E133" i="2"/>
  <c r="E143" i="2" s="1"/>
  <c r="F133" i="2"/>
  <c r="K418" i="1"/>
  <c r="K426" i="1"/>
  <c r="K432" i="1"/>
  <c r="L262" i="1"/>
  <c r="C134" i="2" s="1"/>
  <c r="E134" i="2"/>
  <c r="L263" i="1"/>
  <c r="C135" i="2" s="1"/>
  <c r="L264" i="1"/>
  <c r="C136" i="2" s="1"/>
  <c r="E136" i="2"/>
  <c r="C141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 s="1"/>
  <c r="G499" i="1"/>
  <c r="C160" i="2" s="1"/>
  <c r="H499" i="1"/>
  <c r="D160" i="2" s="1"/>
  <c r="I499" i="1"/>
  <c r="E160" i="2" s="1"/>
  <c r="J499" i="1"/>
  <c r="F160" i="2" s="1"/>
  <c r="B161" i="2"/>
  <c r="C161" i="2"/>
  <c r="G161" i="2" s="1"/>
  <c r="D161" i="2"/>
  <c r="E161" i="2"/>
  <c r="F161" i="2"/>
  <c r="B162" i="2"/>
  <c r="G162" i="2" s="1"/>
  <c r="C162" i="2"/>
  <c r="D162" i="2"/>
  <c r="E162" i="2"/>
  <c r="F162" i="2"/>
  <c r="F502" i="1"/>
  <c r="B163" i="2" s="1"/>
  <c r="G502" i="1"/>
  <c r="C163" i="2" s="1"/>
  <c r="H502" i="1"/>
  <c r="D163" i="2" s="1"/>
  <c r="I502" i="1"/>
  <c r="E163" i="2" s="1"/>
  <c r="J502" i="1"/>
  <c r="F163" i="2" s="1"/>
  <c r="F19" i="1"/>
  <c r="G616" i="1" s="1"/>
  <c r="G19" i="1"/>
  <c r="H19" i="1"/>
  <c r="G618" i="1" s="1"/>
  <c r="I19" i="1"/>
  <c r="F32" i="1"/>
  <c r="G32" i="1"/>
  <c r="H32" i="1"/>
  <c r="I32" i="1"/>
  <c r="F50" i="1"/>
  <c r="G621" i="1" s="1"/>
  <c r="G50" i="1"/>
  <c r="H50" i="1"/>
  <c r="G623" i="1" s="1"/>
  <c r="I50" i="1"/>
  <c r="I51" i="1" s="1"/>
  <c r="H619" i="1" s="1"/>
  <c r="F176" i="1"/>
  <c r="I176" i="1"/>
  <c r="F182" i="1"/>
  <c r="G182" i="1"/>
  <c r="H182" i="1"/>
  <c r="H191" i="1" s="1"/>
  <c r="I182" i="1"/>
  <c r="J182" i="1"/>
  <c r="J191" i="1" s="1"/>
  <c r="F187" i="1"/>
  <c r="G187" i="1"/>
  <c r="H187" i="1"/>
  <c r="I187" i="1"/>
  <c r="F210" i="1"/>
  <c r="G210" i="1"/>
  <c r="G256" i="1" s="1"/>
  <c r="G270" i="1" s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L255" i="1" s="1"/>
  <c r="H255" i="1"/>
  <c r="I255" i="1"/>
  <c r="J255" i="1"/>
  <c r="K255" i="1"/>
  <c r="L269" i="1"/>
  <c r="F289" i="1"/>
  <c r="F337" i="1" s="1"/>
  <c r="F351" i="1" s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 s="1"/>
  <c r="J351" i="1" s="1"/>
  <c r="K336" i="1"/>
  <c r="K337" i="1" s="1"/>
  <c r="K351" i="1" s="1"/>
  <c r="F361" i="1"/>
  <c r="G361" i="1"/>
  <c r="H361" i="1"/>
  <c r="I361" i="1"/>
  <c r="J361" i="1"/>
  <c r="K361" i="1"/>
  <c r="I367" i="1"/>
  <c r="F368" i="1"/>
  <c r="G368" i="1"/>
  <c r="H368" i="1"/>
  <c r="I368" i="1"/>
  <c r="H633" i="1" s="1"/>
  <c r="L380" i="1"/>
  <c r="L381" i="1" s="1"/>
  <c r="G635" i="1" s="1"/>
  <c r="F381" i="1"/>
  <c r="G381" i="1"/>
  <c r="H381" i="1"/>
  <c r="I381" i="1"/>
  <c r="J381" i="1"/>
  <c r="K381" i="1"/>
  <c r="F392" i="1"/>
  <c r="G392" i="1"/>
  <c r="H392" i="1"/>
  <c r="H407" i="1" s="1"/>
  <c r="H643" i="1" s="1"/>
  <c r="J643" i="1" s="1"/>
  <c r="I392" i="1"/>
  <c r="F400" i="1"/>
  <c r="G400" i="1"/>
  <c r="H400" i="1"/>
  <c r="I400" i="1"/>
  <c r="F406" i="1"/>
  <c r="G406" i="1"/>
  <c r="H406" i="1"/>
  <c r="I406" i="1"/>
  <c r="F407" i="1"/>
  <c r="H642" i="1" s="1"/>
  <c r="I407" i="1"/>
  <c r="L412" i="1"/>
  <c r="L413" i="1"/>
  <c r="L418" i="1" s="1"/>
  <c r="L414" i="1"/>
  <c r="L415" i="1"/>
  <c r="L416" i="1"/>
  <c r="L417" i="1"/>
  <c r="F418" i="1"/>
  <c r="G418" i="1"/>
  <c r="H418" i="1"/>
  <c r="I418" i="1"/>
  <c r="J418" i="1"/>
  <c r="L420" i="1"/>
  <c r="L421" i="1"/>
  <c r="L422" i="1"/>
  <c r="L423" i="1"/>
  <c r="L424" i="1"/>
  <c r="L425" i="1"/>
  <c r="F426" i="1"/>
  <c r="G426" i="1"/>
  <c r="H426" i="1"/>
  <c r="I426" i="1"/>
  <c r="J426" i="1"/>
  <c r="L428" i="1"/>
  <c r="L429" i="1"/>
  <c r="L430" i="1"/>
  <c r="L431" i="1"/>
  <c r="F432" i="1"/>
  <c r="G432" i="1"/>
  <c r="H432" i="1"/>
  <c r="I432" i="1"/>
  <c r="J432" i="1"/>
  <c r="F445" i="1"/>
  <c r="G638" i="1" s="1"/>
  <c r="G445" i="1"/>
  <c r="H445" i="1"/>
  <c r="I445" i="1"/>
  <c r="F451" i="1"/>
  <c r="G451" i="1"/>
  <c r="H451" i="1"/>
  <c r="H460" i="1" s="1"/>
  <c r="H640" i="1" s="1"/>
  <c r="J640" i="1" s="1"/>
  <c r="I451" i="1"/>
  <c r="F459" i="1"/>
  <c r="G459" i="1"/>
  <c r="G460" i="1" s="1"/>
  <c r="H639" i="1" s="1"/>
  <c r="H459" i="1"/>
  <c r="I459" i="1"/>
  <c r="F460" i="1"/>
  <c r="I460" i="1"/>
  <c r="H641" i="1" s="1"/>
  <c r="F469" i="1"/>
  <c r="G469" i="1"/>
  <c r="H469" i="1"/>
  <c r="I469" i="1"/>
  <c r="I475" i="1" s="1"/>
  <c r="H624" i="1" s="1"/>
  <c r="J624" i="1" s="1"/>
  <c r="J469" i="1"/>
  <c r="F473" i="1"/>
  <c r="G473" i="1"/>
  <c r="H473" i="1"/>
  <c r="H475" i="1" s="1"/>
  <c r="H623" i="1" s="1"/>
  <c r="J623" i="1" s="1"/>
  <c r="I473" i="1"/>
  <c r="J473" i="1"/>
  <c r="K494" i="1"/>
  <c r="K495" i="1"/>
  <c r="K496" i="1"/>
  <c r="K497" i="1"/>
  <c r="K498" i="1"/>
  <c r="K499" i="1"/>
  <c r="K500" i="1"/>
  <c r="K501" i="1"/>
  <c r="F516" i="1"/>
  <c r="G516" i="1"/>
  <c r="H516" i="1"/>
  <c r="I516" i="1"/>
  <c r="F523" i="1"/>
  <c r="G523" i="1"/>
  <c r="H523" i="1"/>
  <c r="I523" i="1"/>
  <c r="J523" i="1"/>
  <c r="J544" i="1" s="1"/>
  <c r="K523" i="1"/>
  <c r="F528" i="1"/>
  <c r="G528" i="1"/>
  <c r="H528" i="1"/>
  <c r="I528" i="1"/>
  <c r="J528" i="1"/>
  <c r="K528" i="1"/>
  <c r="L528" i="1"/>
  <c r="F533" i="1"/>
  <c r="G533" i="1"/>
  <c r="G544" i="1" s="1"/>
  <c r="H533" i="1"/>
  <c r="I533" i="1"/>
  <c r="I544" i="1" s="1"/>
  <c r="J533" i="1"/>
  <c r="K533" i="1"/>
  <c r="K544" i="1" s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K570" i="1" s="1"/>
  <c r="L561" i="1"/>
  <c r="L562" i="1"/>
  <c r="L563" i="1"/>
  <c r="F564" i="1"/>
  <c r="F570" i="1" s="1"/>
  <c r="G564" i="1"/>
  <c r="H564" i="1"/>
  <c r="H570" i="1" s="1"/>
  <c r="I564" i="1"/>
  <c r="J564" i="1"/>
  <c r="K564" i="1"/>
  <c r="L566" i="1"/>
  <c r="L569" i="1" s="1"/>
  <c r="L567" i="1"/>
  <c r="L568" i="1"/>
  <c r="F569" i="1"/>
  <c r="G569" i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 s="1"/>
  <c r="I597" i="1"/>
  <c r="H649" i="1" s="1"/>
  <c r="J597" i="1"/>
  <c r="H650" i="1" s="1"/>
  <c r="K601" i="1"/>
  <c r="K604" i="1" s="1"/>
  <c r="G647" i="1" s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7" i="1"/>
  <c r="G619" i="1"/>
  <c r="G622" i="1"/>
  <c r="G624" i="1"/>
  <c r="H626" i="1"/>
  <c r="H627" i="1"/>
  <c r="H628" i="1"/>
  <c r="H629" i="1"/>
  <c r="H630" i="1"/>
  <c r="H631" i="1"/>
  <c r="H632" i="1"/>
  <c r="G633" i="1"/>
  <c r="H634" i="1"/>
  <c r="H635" i="1"/>
  <c r="H636" i="1"/>
  <c r="H637" i="1"/>
  <c r="H638" i="1"/>
  <c r="G639" i="1"/>
  <c r="G640" i="1"/>
  <c r="G641" i="1"/>
  <c r="G642" i="1"/>
  <c r="J642" i="1" s="1"/>
  <c r="G643" i="1"/>
  <c r="G644" i="1"/>
  <c r="H646" i="1"/>
  <c r="G648" i="1"/>
  <c r="G649" i="1"/>
  <c r="G650" i="1"/>
  <c r="G651" i="1"/>
  <c r="H651" i="1"/>
  <c r="G652" i="1"/>
  <c r="H652" i="1"/>
  <c r="G653" i="1"/>
  <c r="H653" i="1"/>
  <c r="H654" i="1"/>
  <c r="F191" i="1"/>
  <c r="K256" i="1"/>
  <c r="K270" i="1" s="1"/>
  <c r="G159" i="2"/>
  <c r="C18" i="2"/>
  <c r="F31" i="2"/>
  <c r="C26" i="10"/>
  <c r="L327" i="1"/>
  <c r="H659" i="1" s="1"/>
  <c r="H663" i="1" s="1"/>
  <c r="L350" i="1"/>
  <c r="I661" i="1"/>
  <c r="L289" i="1"/>
  <c r="A31" i="12"/>
  <c r="A40" i="12"/>
  <c r="D12" i="13"/>
  <c r="C12" i="13" s="1"/>
  <c r="D61" i="2"/>
  <c r="D62" i="2" s="1"/>
  <c r="E49" i="2"/>
  <c r="D18" i="13"/>
  <c r="C18" i="13" s="1"/>
  <c r="D15" i="13"/>
  <c r="C15" i="13" s="1"/>
  <c r="D7" i="13"/>
  <c r="C7" i="13" s="1"/>
  <c r="F102" i="2"/>
  <c r="D18" i="2"/>
  <c r="E18" i="2"/>
  <c r="D17" i="13"/>
  <c r="C17" i="13" s="1"/>
  <c r="E8" i="13"/>
  <c r="C8" i="13" s="1"/>
  <c r="G158" i="2"/>
  <c r="C90" i="2"/>
  <c r="G80" i="2"/>
  <c r="F77" i="2"/>
  <c r="F80" i="2" s="1"/>
  <c r="F61" i="2"/>
  <c r="F62" i="2" s="1"/>
  <c r="D31" i="2"/>
  <c r="C77" i="2"/>
  <c r="D49" i="2"/>
  <c r="G156" i="2"/>
  <c r="F49" i="2"/>
  <c r="F18" i="2"/>
  <c r="G160" i="2"/>
  <c r="G155" i="2"/>
  <c r="E114" i="2"/>
  <c r="G102" i="2"/>
  <c r="E102" i="2"/>
  <c r="C102" i="2"/>
  <c r="D90" i="2"/>
  <c r="F90" i="2"/>
  <c r="E61" i="2"/>
  <c r="E62" i="2" s="1"/>
  <c r="C61" i="2"/>
  <c r="C62" i="2" s="1"/>
  <c r="E31" i="2"/>
  <c r="C31" i="2"/>
  <c r="G61" i="2"/>
  <c r="D29" i="13"/>
  <c r="C29" i="13" s="1"/>
  <c r="D19" i="13"/>
  <c r="C19" i="13" s="1"/>
  <c r="D14" i="13"/>
  <c r="C14" i="13" s="1"/>
  <c r="E13" i="13"/>
  <c r="C13" i="13" s="1"/>
  <c r="E77" i="2"/>
  <c r="E80" i="2" s="1"/>
  <c r="L426" i="1"/>
  <c r="J256" i="1"/>
  <c r="J270" i="1" s="1"/>
  <c r="H111" i="1"/>
  <c r="F111" i="1"/>
  <c r="J570" i="1"/>
  <c r="L432" i="1"/>
  <c r="D80" i="2"/>
  <c r="I168" i="1"/>
  <c r="H168" i="1"/>
  <c r="G551" i="1"/>
  <c r="J475" i="1"/>
  <c r="H625" i="1" s="1"/>
  <c r="F475" i="1"/>
  <c r="H621" i="1" s="1"/>
  <c r="G475" i="1"/>
  <c r="H622" i="1" s="1"/>
  <c r="J622" i="1" s="1"/>
  <c r="F168" i="1"/>
  <c r="J139" i="1"/>
  <c r="H256" i="1"/>
  <c r="H270" i="1" s="1"/>
  <c r="I551" i="1"/>
  <c r="K549" i="1"/>
  <c r="G22" i="2"/>
  <c r="K597" i="1"/>
  <c r="G646" i="1" s="1"/>
  <c r="J551" i="1"/>
  <c r="H551" i="1"/>
  <c r="C29" i="10"/>
  <c r="H139" i="1"/>
  <c r="L400" i="1"/>
  <c r="C138" i="2" s="1"/>
  <c r="L392" i="1"/>
  <c r="A13" i="12"/>
  <c r="F22" i="13"/>
  <c r="C22" i="13" s="1"/>
  <c r="H25" i="13"/>
  <c r="C25" i="13" s="1"/>
  <c r="L559" i="1"/>
  <c r="H337" i="1"/>
  <c r="H351" i="1" s="1"/>
  <c r="G191" i="1"/>
  <c r="E127" i="2"/>
  <c r="C35" i="10"/>
  <c r="L308" i="1"/>
  <c r="D5" i="13"/>
  <c r="C5" i="13" s="1"/>
  <c r="E16" i="13"/>
  <c r="C16" i="13" s="1"/>
  <c r="C49" i="2"/>
  <c r="J654" i="1"/>
  <c r="I570" i="1"/>
  <c r="J635" i="1"/>
  <c r="G36" i="2"/>
  <c r="L564" i="1"/>
  <c r="K550" i="1"/>
  <c r="C137" i="2"/>
  <c r="H33" i="13"/>
  <c r="C69" i="2" l="1"/>
  <c r="G660" i="1"/>
  <c r="J621" i="1"/>
  <c r="H544" i="1"/>
  <c r="J633" i="1"/>
  <c r="I256" i="1"/>
  <c r="I270" i="1" s="1"/>
  <c r="K502" i="1"/>
  <c r="J639" i="1"/>
  <c r="G407" i="1"/>
  <c r="H644" i="1" s="1"/>
  <c r="G337" i="1"/>
  <c r="G351" i="1" s="1"/>
  <c r="F256" i="1"/>
  <c r="F270" i="1" s="1"/>
  <c r="G163" i="2"/>
  <c r="K548" i="1"/>
  <c r="K551" i="1"/>
  <c r="F551" i="1"/>
  <c r="L523" i="1"/>
  <c r="L544" i="1" s="1"/>
  <c r="J650" i="1"/>
  <c r="J648" i="1"/>
  <c r="J646" i="1"/>
  <c r="L336" i="1"/>
  <c r="C17" i="10"/>
  <c r="L210" i="1"/>
  <c r="F659" i="1" s="1"/>
  <c r="D6" i="13"/>
  <c r="C6" i="13" s="1"/>
  <c r="C117" i="2"/>
  <c r="C127" i="2" s="1"/>
  <c r="J644" i="1"/>
  <c r="J638" i="1"/>
  <c r="E144" i="2"/>
  <c r="I660" i="1"/>
  <c r="G51" i="1"/>
  <c r="H617" i="1" s="1"/>
  <c r="H51" i="1"/>
  <c r="H618" i="1" s="1"/>
  <c r="J618" i="1" s="1"/>
  <c r="C50" i="2"/>
  <c r="F51" i="1"/>
  <c r="H616" i="1" s="1"/>
  <c r="J616" i="1" s="1"/>
  <c r="C114" i="2"/>
  <c r="E50" i="2"/>
  <c r="E33" i="13"/>
  <c r="D35" i="13" s="1"/>
  <c r="F50" i="2"/>
  <c r="C80" i="2"/>
  <c r="L337" i="1"/>
  <c r="L351" i="1" s="1"/>
  <c r="G632" i="1" s="1"/>
  <c r="J632" i="1" s="1"/>
  <c r="C24" i="10"/>
  <c r="G659" i="1"/>
  <c r="G663" i="1" s="1"/>
  <c r="G671" i="1" s="1"/>
  <c r="C5" i="10" s="1"/>
  <c r="G31" i="13"/>
  <c r="G33" i="13" s="1"/>
  <c r="I337" i="1"/>
  <c r="I351" i="1" s="1"/>
  <c r="J649" i="1"/>
  <c r="L406" i="1"/>
  <c r="C139" i="2" s="1"/>
  <c r="C140" i="2" s="1"/>
  <c r="C143" i="2" s="1"/>
  <c r="L570" i="1"/>
  <c r="I191" i="1"/>
  <c r="E90" i="2"/>
  <c r="L407" i="1"/>
  <c r="G636" i="1" s="1"/>
  <c r="J636" i="1" s="1"/>
  <c r="D50" i="2"/>
  <c r="J653" i="1"/>
  <c r="J652" i="1"/>
  <c r="F143" i="2"/>
  <c r="F144" i="2" s="1"/>
  <c r="G21" i="2"/>
  <c r="G31" i="2" s="1"/>
  <c r="J32" i="1"/>
  <c r="L433" i="1"/>
  <c r="G637" i="1" s="1"/>
  <c r="J637" i="1" s="1"/>
  <c r="J433" i="1"/>
  <c r="F433" i="1"/>
  <c r="K433" i="1"/>
  <c r="G133" i="2" s="1"/>
  <c r="G143" i="2" s="1"/>
  <c r="G144" i="2" s="1"/>
  <c r="H666" i="1"/>
  <c r="H671" i="1"/>
  <c r="C6" i="10" s="1"/>
  <c r="F31" i="13"/>
  <c r="F33" i="13" s="1"/>
  <c r="J192" i="1"/>
  <c r="G645" i="1" s="1"/>
  <c r="F103" i="2"/>
  <c r="H192" i="1"/>
  <c r="G628" i="1" s="1"/>
  <c r="J628" i="1" s="1"/>
  <c r="G168" i="1"/>
  <c r="C39" i="10" s="1"/>
  <c r="G139" i="1"/>
  <c r="F139" i="1"/>
  <c r="F192" i="1" s="1"/>
  <c r="G626" i="1" s="1"/>
  <c r="J626" i="1" s="1"/>
  <c r="C36" i="10"/>
  <c r="G62" i="2"/>
  <c r="G103" i="2" s="1"/>
  <c r="J617" i="1"/>
  <c r="G666" i="1"/>
  <c r="G42" i="2"/>
  <c r="J50" i="1"/>
  <c r="G16" i="2"/>
  <c r="G18" i="2" s="1"/>
  <c r="J19" i="1"/>
  <c r="G620" i="1" s="1"/>
  <c r="D31" i="13"/>
  <c r="C31" i="13" s="1"/>
  <c r="F544" i="1"/>
  <c r="H433" i="1"/>
  <c r="J619" i="1"/>
  <c r="D102" i="2"/>
  <c r="D103" i="2" s="1"/>
  <c r="I139" i="1"/>
  <c r="I192" i="1" s="1"/>
  <c r="G629" i="1" s="1"/>
  <c r="J629" i="1" s="1"/>
  <c r="A22" i="12"/>
  <c r="H645" i="1"/>
  <c r="G49" i="2"/>
  <c r="G50" i="2" s="1"/>
  <c r="H647" i="1"/>
  <c r="J647" i="1" s="1"/>
  <c r="C103" i="2"/>
  <c r="J651" i="1"/>
  <c r="J641" i="1"/>
  <c r="G570" i="1"/>
  <c r="I433" i="1"/>
  <c r="G433" i="1"/>
  <c r="E103" i="2"/>
  <c r="I662" i="1"/>
  <c r="C27" i="10"/>
  <c r="C28" i="10" s="1"/>
  <c r="G634" i="1"/>
  <c r="J634" i="1" s="1"/>
  <c r="F663" i="1" l="1"/>
  <c r="F671" i="1" s="1"/>
  <c r="C4" i="10" s="1"/>
  <c r="I659" i="1"/>
  <c r="I663" i="1" s="1"/>
  <c r="I671" i="1" s="1"/>
  <c r="C7" i="10" s="1"/>
  <c r="L256" i="1"/>
  <c r="L270" i="1" s="1"/>
  <c r="G631" i="1" s="1"/>
  <c r="J631" i="1" s="1"/>
  <c r="C144" i="2"/>
  <c r="G630" i="1"/>
  <c r="J630" i="1" s="1"/>
  <c r="D33" i="13"/>
  <c r="D36" i="13" s="1"/>
  <c r="J645" i="1"/>
  <c r="G192" i="1"/>
  <c r="G627" i="1" s="1"/>
  <c r="J627" i="1" s="1"/>
  <c r="G625" i="1"/>
  <c r="J625" i="1" s="1"/>
  <c r="J51" i="1"/>
  <c r="H620" i="1" s="1"/>
  <c r="J620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F666" i="1" l="1"/>
  <c r="I666" i="1"/>
  <c r="H655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<sst xmlns="http://schemas.openxmlformats.org/spreadsheetml/2006/main" count="3944" uniqueCount="910">
  <si>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</si>
  <si>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</si>
  <si>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</si>
  <si>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</si>
  <si>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</si>
  <si>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</si>
  <si>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</si>
  <si>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</si>
  <si>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</si>
  <si>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</si>
  <si>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</si>
  <si>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</si>
  <si>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</si>
  <si>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</si>
  <si>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</si>
  <si>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</si>
  <si>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</si>
  <si>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</si>
  <si>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</si>
  <si>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</si>
  <si>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</si>
  <si>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</si>
  <si>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</si>
  <si>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</si>
  <si>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</si>
  <si>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</si>
  <si>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</si>
  <si>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</si>
  <si>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</si>
  <si>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</si>
  <si>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</si>
  <si>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</si>
  <si>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</si>
  <si>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</si>
  <si>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</si>
  <si>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</si>
  <si>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</si>
  <si>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</si>
  <si>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</si>
  <si>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</si>
  <si>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</si>
  <si>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</si>
  <si>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</si>
  <si>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</si>
  <si>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</si>
  <si>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</si>
  <si>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</si>
  <si>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</si>
  <si>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</si>
  <si>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</si>
  <si>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</si>
  <si>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</si>
  <si>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</si>
  <si>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</si>
  <si>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</si>
  <si>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</si>
  <si>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</si>
  <si>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</si>
  <si>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</si>
  <si>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</si>
  <si>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</si>
  <si>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</si>
  <si>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</si>
  <si>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</si>
  <si>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</si>
  <si>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</si>
  <si>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</si>
  <si>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</si>
  <si>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</si>
  <si>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</si>
  <si>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</si>
  <si>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</si>
  <si>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</si>
  <si>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</si>
  <si>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</si>
  <si>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</si>
  <si>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</si>
  <si>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</si>
  <si>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</si>
  <si>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</si>
  <si>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</si>
  <si>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</si>
  <si>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</si>
  <si>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</si>
  <si>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</si>
  <si>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</si>
  <si>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</si>
  <si>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</si>
  <si>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</si>
  <si>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</si>
  <si>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</si>
  <si>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</si>
  <si>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</si>
  <si>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</si>
  <si>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</si>
  <si>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</si>
  <si>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</si>
  <si>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</si>
  <si>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</si>
  <si>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</si>
  <si>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</si>
  <si>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</si>
  <si>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</si>
  <si>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</si>
  <si>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</si>
  <si>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</si>
  <si>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</si>
  <si>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</si>
  <si>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</si>
  <si>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</si>
  <si>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</si>
  <si>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</si>
  <si>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</si>
  <si>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</si>
  <si>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</si>
  <si>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</si>
  <si>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</si>
  <si>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</si>
  <si>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</si>
  <si>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</si>
  <si>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</si>
  <si>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</si>
  <si>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</si>
  <si>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</si>
  <si>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</si>
  <si>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</si>
  <si>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</si>
  <si>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</si>
  <si>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</si>
  <si>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</si>
  <si>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</si>
  <si>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</si>
  <si>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</si>
  <si>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</si>
  <si>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</si>
  <si>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</si>
  <si>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</si>
  <si>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</si>
  <si>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</si>
  <si>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</si>
  <si>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</si>
  <si>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</si>
  <si>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</si>
  <si>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</si>
  <si>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</si>
  <si>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</si>
  <si>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</si>
  <si>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</si>
  <si>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</si>
  <si>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</si>
  <si>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</si>
  <si>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</si>
  <si>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</si>
  <si>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</si>
  <si>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</si>
  <si>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</si>
  <si>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</si>
  <si>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</si>
  <si>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</si>
  <si>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</si>
  <si>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</si>
  <si>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</si>
  <si>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</si>
  <si>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</si>
  <si>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</si>
  <si>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</si>
  <si>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</si>
  <si>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</si>
  <si>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</si>
  <si>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</si>
  <si>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</si>
  <si>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</si>
  <si>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</si>
  <si>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</si>
  <si>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</si>
  <si>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</si>
  <si>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</si>
  <si>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</si>
  <si>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</si>
  <si>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</si>
  <si>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</si>
  <si>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</si>
  <si>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</si>
  <si>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</si>
  <si>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</si>
  <si>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</si>
  <si>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</si>
  <si>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</si>
  <si>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</si>
  <si>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</si>
  <si>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</si>
  <si>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</si>
  <si>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</si>
  <si>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</si>
  <si>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</si>
  <si>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</si>
  <si>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</si>
  <si>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</si>
  <si>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</si>
  <si>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</si>
  <si>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</si>
  <si>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</si>
  <si>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</si>
  <si>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</si>
  <si>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</si>
  <si>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</si>
  <si>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</si>
  <si>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</si>
  <si>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</si>
  <si>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</si>
  <si>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</si>
  <si>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</si>
  <si>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</si>
  <si>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</si>
  <si>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</si>
  <si>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</si>
  <si>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</si>
  <si>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</si>
  <si>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</si>
  <si>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</si>
  <si>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</si>
  <si>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</si>
  <si>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</si>
  <si>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</si>
  <si>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</si>
  <si>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</si>
  <si>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</si>
  <si>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</si>
  <si>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</si>
  <si>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</si>
  <si>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</si>
  <si>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</si>
  <si>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</si>
  <si>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</si>
  <si>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</si>
  <si>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</si>
  <si>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</si>
  <si>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</si>
  <si>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</si>
  <si>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</si>
  <si>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</si>
  <si>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</si>
  <si>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</si>
  <si>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</si>
  <si>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</si>
  <si>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</si>
  <si>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</si>
  <si>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</si>
  <si>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</si>
  <si>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</si>
  <si>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</si>
  <si>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</si>
  <si>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</si>
  <si>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</si>
  <si>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</si>
  <si>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</si>
  <si>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</si>
  <si>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</si>
  <si>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</si>
  <si>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</si>
  <si>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</si>
  <si>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</si>
  <si>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</si>
  <si>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</si>
  <si>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</si>
  <si>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</si>
  <si>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</si>
  <si>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</si>
  <si>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</si>
  <si>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</si>
  <si>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</si>
  <si>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</si>
  <si>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</si>
  <si>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</si>
  <si>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</si>
  <si>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</si>
  <si>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</si>
  <si>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</si>
  <si>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</si>
  <si>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</si>
  <si>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</si>
  <si>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</si>
  <si>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</si>
  <si>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</si>
  <si>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</si>
  <si>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</si>
  <si>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</si>
  <si>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</si>
  <si>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</si>
  <si>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</si>
  <si>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</si>
  <si>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</si>
  <si>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</si>
  <si>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</si>
  <si>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</si>
  <si>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</si>
  <si>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</si>
  <si>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</si>
  <si>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</si>
  <si>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</si>
  <si>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</si>
  <si>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</si>
  <si>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</si>
  <si>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</si>
  <si>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</si>
  <si>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</si>
  <si>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</si>
  <si>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</si>
  <si>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</si>
  <si>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</si>
  <si>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</si>
  <si>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</si>
  <si>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</si>
  <si>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</si>
  <si>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</si>
  <si>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</si>
  <si>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</si>
  <si>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</si>
  <si>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</si>
  <si>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</si>
  <si>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</si>
  <si>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</si>
  <si>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</si>
  <si>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</si>
  <si>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</si>
  <si>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</si>
  <si>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</si>
  <si>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</si>
  <si>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</si>
  <si>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</si>
  <si>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</si>
  <si>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</si>
  <si>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</si>
  <si>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</si>
  <si>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</si>
  <si>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</si>
  <si>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</si>
  <si>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</si>
  <si>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</si>
  <si>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</si>
  <si>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</si>
  <si>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</si>
  <si>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</si>
  <si>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</si>
  <si>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</si>
  <si>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</si>
  <si>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</si>
  <si>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</si>
  <si>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</si>
  <si>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</si>
  <si>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</si>
  <si>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</si>
  <si>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</si>
  <si>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</si>
  <si>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</si>
  <si>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</si>
  <si>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</si>
  <si>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</si>
  <si>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</si>
  <si>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</si>
  <si>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</si>
  <si>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</si>
  <si>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</si>
  <si>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</si>
  <si>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</si>
  <si>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</si>
  <si>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</si>
  <si>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</si>
  <si>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</si>
  <si>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</si>
  <si>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</si>
  <si>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</si>
  <si>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</si>
  <si>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</si>
  <si>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</si>
  <si>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</si>
  <si>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</si>
  <si>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</si>
  <si>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</si>
  <si>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</si>
  <si>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</si>
  <si>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</si>
  <si>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</si>
  <si>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</si>
  <si>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</si>
  <si>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</si>
  <si>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</si>
  <si>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</si>
  <si>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</si>
  <si>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</si>
  <si>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</si>
  <si>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</si>
  <si>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</si>
  <si>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</si>
  <si>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</si>
  <si>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</si>
  <si>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</si>
  <si>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</si>
  <si>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</si>
  <si>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</si>
  <si>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</si>
  <si>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</si>
  <si>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</si>
  <si>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</si>
  <si>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</si>
  <si>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</si>
  <si>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</si>
  <si>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</si>
  <si>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</si>
  <si>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</si>
  <si>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</si>
  <si>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</si>
  <si>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</si>
  <si>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</si>
  <si>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</si>
  <si>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</si>
  <si>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</si>
  <si>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</si>
  <si>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</si>
  <si>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</si>
  <si>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</si>
  <si>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</si>
  <si>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</si>
  <si>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</si>
  <si>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</si>
  <si>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</si>
  <si>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</si>
  <si>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</si>
  <si>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</si>
  <si>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</si>
  <si>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</si>
  <si>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</si>
  <si>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</si>
  <si>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</si>
  <si>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</si>
  <si>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</si>
  <si>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</si>
  <si>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</si>
  <si>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</si>
  <si>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</si>
  <si>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</si>
  <si>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</si>
  <si>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</si>
  <si>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</si>
  <si>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</si>
  <si>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</si>
  <si>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</si>
  <si>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</si>
  <si>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</si>
  <si>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</si>
  <si>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</si>
  <si>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</si>
  <si>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</si>
  <si>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</si>
  <si>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</si>
  <si>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</si>
  <si>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</si>
  <si>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</si>
  <si>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</si>
  <si>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</si>
  <si>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</si>
  <si>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</si>
  <si>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</si>
  <si>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</si>
  <si>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</si>
  <si>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</si>
  <si>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</si>
  <si>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</si>
  <si>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</si>
  <si>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</si>
  <si>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</si>
  <si>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</si>
  <si>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</si>
  <si>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</si>
  <si>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</si>
  <si>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</si>
  <si>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</si>
  <si>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</si>
  <si>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</si>
  <si>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</si>
  <si>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</si>
  <si>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</si>
  <si>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</si>
  <si>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</si>
  <si>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</si>
  <si>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</si>
  <si>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</si>
  <si>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</si>
  <si>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</si>
  <si>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</si>
  <si>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</si>
  <si>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</si>
  <si>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</si>
  <si>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</si>
  <si>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</si>
  <si>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</si>
  <si>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</si>
  <si>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</si>
  <si>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</si>
  <si>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</si>
  <si>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</si>
  <si>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</si>
  <si>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</si>
  <si>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</si>
  <si>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</si>
  <si>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</si>
  <si>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</si>
  <si>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</si>
  <si>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</si>
  <si>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</si>
  <si>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</si>
  <si>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</si>
  <si>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</si>
  <si>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</si>
  <si>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</si>
  <si>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</si>
  <si>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</si>
  <si>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</si>
  <si>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</si>
  <si>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</si>
  <si>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</si>
  <si>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</si>
  <si>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</si>
  <si>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</si>
  <si>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</si>
  <si>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</si>
  <si>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</si>
  <si>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</si>
  <si>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</si>
  <si>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</si>
  <si>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</si>
  <si>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</si>
  <si>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</si>
  <si>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</si>
  <si>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</si>
  <si>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</si>
  <si>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</si>
  <si>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</si>
  <si>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</si>
  <si>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</si>
  <si>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</si>
  <si>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</si>
  <si>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</si>
  <si>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</si>
  <si>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</si>
  <si>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</si>
  <si>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</si>
  <si>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</si>
  <si>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</si>
  <si>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</si>
  <si>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</si>
  <si>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</si>
  <si>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</si>
  <si>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</si>
  <si>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</si>
  <si>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</si>
  <si>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</si>
  <si>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</si>
  <si>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</si>
  <si>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</si>
  <si>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</si>
  <si>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</si>
  <si>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</si>
  <si>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</si>
  <si>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</si>
  <si>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</si>
  <si>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</si>
  <si>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</si>
  <si>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</si>
  <si>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</si>
  <si>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</si>
  <si>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</si>
  <si>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</si>
  <si>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</si>
  <si>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</si>
  <si>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</si>
  <si>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</si>
  <si>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</si>
  <si>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</si>
  <si>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</si>
  <si>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</si>
  <si>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</si>
  <si>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</si>
  <si>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</si>
  <si>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</si>
  <si>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</si>
  <si>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</si>
  <si>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</si>
  <si>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</si>
  <si>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</si>
  <si>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</si>
  <si>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</si>
  <si>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</si>
  <si>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</si>
  <si>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</si>
  <si>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</si>
  <si>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</si>
  <si>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</si>
  <si>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</si>
  <si>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</si>
  <si>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</si>
  <si>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</si>
  <si>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</si>
  <si>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</si>
  <si>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</si>
  <si>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</si>
  <si>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</si>
  <si>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</si>
  <si>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</si>
  <si>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</si>
  <si>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</si>
  <si>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</si>
  <si>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</si>
  <si>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</si>
  <si>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</si>
  <si>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</si>
  <si>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</si>
  <si>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</si>
  <si>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</si>
  <si>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</si>
  <si>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</si>
  <si>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</si>
  <si>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</si>
  <si>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</si>
  <si>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</si>
  <si>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</si>
  <si>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</si>
  <si>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</si>
  <si>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</si>
  <si>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</si>
  <si>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</si>
  <si>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</si>
  <si>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</si>
  <si>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</si>
  <si>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</si>
  <si>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</si>
  <si>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</si>
  <si>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</si>
  <si>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</si>
  <si>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</si>
  <si>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</si>
  <si>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</si>
  <si>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</si>
  <si>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</si>
  <si>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</si>
  <si>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</si>
  <si>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</si>
  <si>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</si>
  <si>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</si>
  <si>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</si>
  <si>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</si>
  <si>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</si>
  <si>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</si>
  <si>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</si>
  <si>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</si>
  <si>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</si>
  <si>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</si>
  <si>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</si>
  <si>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</si>
  <si>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</si>
  <si>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</si>
  <si>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</si>
  <si>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</si>
  <si>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</si>
  <si>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</si>
  <si>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</si>
  <si>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</si>
  <si>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</si>
  <si>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</si>
  <si>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</si>
  <si>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</si>
  <si>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</si>
  <si>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</si>
  <si>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</si>
  <si>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</si>
  <si>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</si>
  <si>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</si>
  <si>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</si>
  <si>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</si>
  <si>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</si>
  <si>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</si>
  <si>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</si>
  <si>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</si>
  <si>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</si>
  <si>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</si>
  <si>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</si>
  <si>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</si>
  <si>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</si>
  <si>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</si>
  <si>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</si>
  <si>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</si>
  <si>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</si>
  <si>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</si>
  <si>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</si>
  <si>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</si>
  <si>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</si>
  <si>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</si>
  <si>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</si>
  <si>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</si>
  <si>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</si>
  <si>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</si>
  <si>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</si>
  <si>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</si>
  <si>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</si>
  <si>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</si>
  <si>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</si>
  <si>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</si>
  <si>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</si>
  <si>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</si>
  <si>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</si>
  <si>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</si>
  <si>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</si>
  <si>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</si>
  <si>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</si>
  <si>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</si>
  <si>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</si>
  <si>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</si>
  <si>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</si>
  <si>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</si>
  <si>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</si>
  <si>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</si>
  <si>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</si>
  <si>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</si>
  <si>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</si>
  <si>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</si>
  <si>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</si>
  <si>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</si>
  <si>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</si>
  <si>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</si>
  <si>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</si>
  <si>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</si>
  <si>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</si>
  <si>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</si>
  <si>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</si>
  <si>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</si>
  <si>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</si>
  <si>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</si>
  <si>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</si>
  <si>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</si>
  <si>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</si>
  <si>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</si>
  <si>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</si>
  <si>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</si>
  <si>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</si>
  <si>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</si>
  <si>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</si>
  <si>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</si>
  <si>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</si>
  <si>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</si>
  <si>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</si>
  <si>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</si>
  <si>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</si>
  <si>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</si>
  <si>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</si>
  <si>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</si>
  <si>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</si>
  <si>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</si>
  <si>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</si>
  <si>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</si>
  <si>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</si>
  <si>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</si>
  <si>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</si>
  <si>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</si>
  <si>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</si>
  <si>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</si>
  <si>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</si>
  <si>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</si>
  <si>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</si>
  <si>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</si>
  <si>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</si>
  <si>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</si>
  <si>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</si>
  <si>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</si>
  <si>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</si>
  <si>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</si>
  <si>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</si>
  <si>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</si>
  <si>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</si>
  <si>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</si>
  <si>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</si>
  <si>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</si>
  <si>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</si>
  <si>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</si>
  <si>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</si>
  <si>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</si>
  <si>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</si>
  <si>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</si>
  <si>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</si>
  <si>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</si>
  <si>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</si>
  <si>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</si>
  <si>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</si>
  <si>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</si>
  <si>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</si>
  <si>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</si>
  <si>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</si>
  <si>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</si>
  <si>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</si>
  <si>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</si>
  <si>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</si>
  <si>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</si>
  <si>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</si>
  <si>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</si>
  <si>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</si>
  <si>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</si>
  <si>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</si>
  <si>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</si>
  <si>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</si>
  <si>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</si>
  <si>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</si>
  <si>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</si>
  <si>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</si>
  <si>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</si>
  <si>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</si>
  <si>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</si>
  <si>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</si>
  <si>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</si>
  <si>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</si>
  <si>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</si>
  <si>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</si>
  <si>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</si>
  <si>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</si>
  <si>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</si>
  <si>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</si>
  <si>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</si>
  <si>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</si>
  <si>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</si>
  <si>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</si>
  <si>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</si>
  <si>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</si>
  <si>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</si>
  <si>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</si>
  <si>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</si>
  <si>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</si>
  <si>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</si>
  <si>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</si>
  <si>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</si>
  <si>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</si>
  <si>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</si>
  <si>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</si>
  <si>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</si>
  <si>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</si>
  <si>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</si>
  <si>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</si>
  <si>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</si>
  <si>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</si>
  <si>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</si>
  <si>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</si>
  <si>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</si>
  <si>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</si>
  <si>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</si>
  <si>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</si>
  <si>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</si>
  <si>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</si>
  <si>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</si>
  <si>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</si>
  <si>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</si>
  <si>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</si>
  <si>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</si>
  <si>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</si>
  <si>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</si>
  <si>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</si>
  <si>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</si>
  <si>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</si>
  <si>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</si>
  <si>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</si>
  <si>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</si>
  <si>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</si>
  <si>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</si>
  <si>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</si>
  <si>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</si>
  <si>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</si>
  <si>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</si>
  <si>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</si>
  <si>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</si>
  <si>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</si>
  <si>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</si>
  <si>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</si>
  <si>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</si>
  <si>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</si>
  <si>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</si>
  <si>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</si>
  <si>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</si>
  <si>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</si>
  <si>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</si>
  <si>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</si>
  <si>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</si>
  <si>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</si>
  <si>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</si>
  <si>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</si>
  <si>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</si>
  <si>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</si>
  <si>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</si>
  <si>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</si>
  <si>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</si>
  <si>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</si>
  <si>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</si>
  <si>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</si>
  <si>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DOE 25  2012-2013</t>
  </si>
  <si>
    <t>TOTAL FUND EQUITY, JULY 1, 2012</t>
  </si>
  <si>
    <t xml:space="preserve">Total Fund Equity June 30, 2013**** </t>
  </si>
  <si>
    <t>For the Fiscal Year Ending on June 30, 2013</t>
  </si>
  <si>
    <t>For Fiscal Year Ending June 30, 2013</t>
  </si>
  <si>
    <t>Indirect Cost Rate to be determine at later date for FY2014-2015</t>
  </si>
  <si>
    <t>2012-2013 Current Expenditure Per Pupil(in dollars)</t>
  </si>
  <si>
    <t>2012-13-Current Expenditure Per Pupil</t>
  </si>
  <si>
    <t>2012-13-Total Revenues</t>
  </si>
  <si>
    <t xml:space="preserve">  SHARED REVENUE</t>
  </si>
  <si>
    <t>11. Shared Revenues</t>
  </si>
  <si>
    <t>Auburn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</si>
</sst>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externalLinkPath" Target="file:///C:\DOE-25\FY2011-2012\Final\TOT08.xlsx" TargetMode="External"/><Relationship Id="rId13" Type="http://schemas.openxmlformats.org/officeDocument/2006/relationships/externalLinkPath" Target="file:///C:\DOE-25\FY2011-2012\Final\TOT13.xlsx" TargetMode="External"/><Relationship Id="rId18" Type="http://schemas.openxmlformats.org/officeDocument/2006/relationships/externalLinkPath" Target="file:///C:\DOE-25\FY2011-2012\Final\TOT18.xlsx" TargetMode="External"/><Relationship Id="rId3" Type="http://schemas.openxmlformats.org/officeDocument/2006/relationships/externalLinkPath" Target="file:///C:\DOE-25\FY2011-2012\Final\TOT03.xlsx" TargetMode="External"/><Relationship Id="rId21" Type="http://schemas.openxmlformats.org/officeDocument/2006/relationships/comments" Target="../comments1.xml"/><Relationship Id="rId7" Type="http://schemas.openxmlformats.org/officeDocument/2006/relationships/externalLinkPath" Target="file:///C:\DOE-25\FY2011-2012\Final\TOT07.xlsx" TargetMode="External"/><Relationship Id="rId12" Type="http://schemas.openxmlformats.org/officeDocument/2006/relationships/externalLinkPath" Target="file:///C:\DOE-25\FY2011-2012\Final\TOT12.xlsx" TargetMode="External"/><Relationship Id="rId17" Type="http://schemas.openxmlformats.org/officeDocument/2006/relationships/externalLinkPath" Target="file:///C:\DOE-25\FY2011-2012\Final\TOT17.xlsx" TargetMode="External"/><Relationship Id="rId2" Type="http://schemas.openxmlformats.org/officeDocument/2006/relationships/externalLinkPath" Target="file:///C:\DOE-25\FY2011-2012\Final\TOT02.xlsx" TargetMode="External"/><Relationship Id="rId16" Type="http://schemas.openxmlformats.org/officeDocument/2006/relationships/externalLinkPath" Target="file:///C:\DOE-25\FY2011-2012\Final\TOT16.xlsx" TargetMode="External"/><Relationship Id="rId20" Type="http://schemas.openxmlformats.org/officeDocument/2006/relationships/vmlDrawing" Target="../drawings/vmlDrawing1.vml"/><Relationship Id="rId1" Type="http://schemas.openxmlformats.org/officeDocument/2006/relationships/externalLinkPath" Target="file:///C:\DOE-25\FY2011-2012\Final\TOT01.xlsx" TargetMode="External"/><Relationship Id="rId6" Type="http://schemas.openxmlformats.org/officeDocument/2006/relationships/externalLinkPath" Target="file:///C:\DOE-25\FY2011-2012\Final\TOT06.xlsx" TargetMode="External"/><Relationship Id="rId11" Type="http://schemas.openxmlformats.org/officeDocument/2006/relationships/externalLinkPath" Target="file:///C:\DOE-25\FY2011-2012\Final\TOT11.xlsx" TargetMode="External"/><Relationship Id="rId5" Type="http://schemas.openxmlformats.org/officeDocument/2006/relationships/externalLinkPath" Target="file:///C:\DOE-25\FY2011-2012\Final\TOT05.xlsx" TargetMode="External"/><Relationship Id="rId15" Type="http://schemas.openxmlformats.org/officeDocument/2006/relationships/externalLinkPath" Target="file:///C:\DOE-25\FY2011-2012\Final\TOT15.xlsx" TargetMode="External"/><Relationship Id="rId10" Type="http://schemas.openxmlformats.org/officeDocument/2006/relationships/externalLinkPath" Target="file:///C:\DOE-25\FY2011-2012\Final\TOT10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externalLinkPath" Target="file:///C:\DOE-25\FY2011-2012\Final\TOT04.xlsx" TargetMode="External"/><Relationship Id="rId9" Type="http://schemas.openxmlformats.org/officeDocument/2006/relationships/externalLinkPath" Target="file:///C:\DOE-25\FY2011-2012\Final\TOT09.xlsx" TargetMode="External"/><Relationship Id="rId14" Type="http://schemas.openxmlformats.org/officeDocument/2006/relationships/externalLinkPath" Target="file:///C:\DOE-25\FY2011-2012\Final\TOT14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90" zoomScaleNormal="90" workbookViewId="0">
      <pane xSplit="5" ySplit="3" topLeftCell="F624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898</v>
      </c>
      <c r="I1" s="13"/>
      <c r="J1" s="13"/>
      <c r="K1" s="13"/>
      <c r="L1" s="13"/>
    </row>
    <row r="2" spans="1:14" s="3" customFormat="1" ht="12" customHeight="1" x14ac:dyDescent="0.2">
      <c r="A2" s="176" t="s">
        <v>909</v>
      </c>
      <c r="B2" s="21">
        <v>29</v>
      </c>
      <c r="C2" s="21">
        <v>29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550250.93999999994</v>
      </c>
      <c r="G9" s="18"/>
      <c r="H9" s="18"/>
      <c r="I9" s="18"/>
      <c r="J9" s="67">
        <f>SUM(I438)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66285.929999999993</v>
      </c>
      <c r="G12" s="18">
        <v>51270.81</v>
      </c>
      <c r="H12" s="18"/>
      <c r="I12" s="18"/>
      <c r="J12" s="67">
        <f>SUM(I440)</f>
        <v>411293.35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21531.18</v>
      </c>
      <c r="G13" s="18">
        <v>10833.25</v>
      </c>
      <c r="H13" s="18">
        <v>69465.990000000005</v>
      </c>
      <c r="I13" s="18"/>
      <c r="J13" s="67">
        <f>SUM(I441)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735.7</v>
      </c>
      <c r="G14" s="18">
        <v>2326.77</v>
      </c>
      <c r="H14" s="18"/>
      <c r="I14" s="18"/>
      <c r="J14" s="67">
        <f>SUM(I442)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638803.74999999988</v>
      </c>
      <c r="G19" s="41">
        <f>SUM(G9:G18)</f>
        <v>64430.829999999994</v>
      </c>
      <c r="H19" s="41">
        <f>SUM(H9:H18)</f>
        <v>69465.990000000005</v>
      </c>
      <c r="I19" s="41">
        <f>SUM(I9:I18)</f>
        <v>0</v>
      </c>
      <c r="J19" s="41">
        <f>SUM(J9:J18)</f>
        <v>411293.35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51270.81</v>
      </c>
      <c r="G22" s="18"/>
      <c r="H22" s="18">
        <v>66285.929999999993</v>
      </c>
      <c r="I22" s="18"/>
      <c r="J22" s="67">
        <f>SUM(I447)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252047.63</v>
      </c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25544.04</v>
      </c>
      <c r="G28" s="18">
        <v>1637.52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538.51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5037.3999999999996</v>
      </c>
      <c r="H30" s="18">
        <v>3180.06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329400.99</v>
      </c>
      <c r="G32" s="41">
        <f>SUM(G22:G31)</f>
        <v>6674.92</v>
      </c>
      <c r="H32" s="41">
        <f>SUM(H22:H31)</f>
        <v>69465.989999999991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895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25000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29" t="s">
        <v>864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  <c r="N46" s="272"/>
    </row>
    <row r="47" spans="1:14" s="3" customFormat="1" ht="12" customHeight="1" x14ac:dyDescent="0.15">
      <c r="A47" s="1" t="s">
        <v>855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>
        <v>57755.91</v>
      </c>
      <c r="H47" s="18"/>
      <c r="I47" s="18"/>
      <c r="J47" s="13">
        <f>SUM(I458)</f>
        <v>411293.35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875</v>
      </c>
      <c r="B48" s="2" t="s">
        <v>290</v>
      </c>
      <c r="C48" s="6">
        <v>33</v>
      </c>
      <c r="D48" s="2"/>
      <c r="E48" s="6">
        <v>753</v>
      </c>
      <c r="F48" s="18">
        <v>27979.88</v>
      </c>
      <c r="G48" s="18"/>
      <c r="H48" s="18"/>
      <c r="I48" s="18"/>
      <c r="J48" s="13">
        <f>I453</f>
        <v>0</v>
      </c>
      <c r="K48" s="24"/>
      <c r="L48" s="24"/>
      <c r="M48" s="8"/>
      <c r="N48" s="272"/>
    </row>
    <row r="49" spans="1:14" s="3" customFormat="1" ht="12" customHeight="1" thickBot="1" x14ac:dyDescent="0.2">
      <c r="A49" s="29" t="s">
        <v>856</v>
      </c>
      <c r="B49" s="2" t="s">
        <v>290</v>
      </c>
      <c r="C49" s="71">
        <v>34</v>
      </c>
      <c r="D49" s="2" t="s">
        <v>657</v>
      </c>
      <c r="E49" s="6">
        <v>770</v>
      </c>
      <c r="F49" s="18">
        <v>256422.88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  <c r="N49" s="272"/>
    </row>
    <row r="50" spans="1:14" ht="12" customHeight="1" thickTop="1" thickBot="1" x14ac:dyDescent="0.25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309402.76</v>
      </c>
      <c r="G50" s="41">
        <f>SUM(G35:G49)</f>
        <v>57755.91</v>
      </c>
      <c r="H50" s="41">
        <f>SUM(H35:H49)</f>
        <v>0</v>
      </c>
      <c r="I50" s="41">
        <f>SUM(I35:I49)</f>
        <v>0</v>
      </c>
      <c r="J50" s="41">
        <f>SUM(J35:J49)</f>
        <v>411293.35</v>
      </c>
      <c r="K50" s="45" t="s">
        <v>289</v>
      </c>
      <c r="L50" s="45" t="s">
        <v>289</v>
      </c>
      <c r="N50" s="270"/>
    </row>
    <row r="51" spans="1:14" s="3" customFormat="1" ht="12" customHeight="1" thickTop="1" x14ac:dyDescent="0.15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638803.75</v>
      </c>
      <c r="G51" s="41">
        <f>G50+G32</f>
        <v>64430.83</v>
      </c>
      <c r="H51" s="41">
        <f>H50+H32</f>
        <v>69465.989999999991</v>
      </c>
      <c r="I51" s="41">
        <f>I50+I32</f>
        <v>0</v>
      </c>
      <c r="J51" s="41">
        <f>J50+J32</f>
        <v>411293.35</v>
      </c>
      <c r="K51" s="45" t="s">
        <v>289</v>
      </c>
      <c r="L51" s="45" t="s">
        <v>289</v>
      </c>
      <c r="M51" s="8"/>
      <c r="N51" s="272"/>
    </row>
    <row r="52" spans="1:14" s="3" customFormat="1" ht="12" customHeight="1" x14ac:dyDescent="0.2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  <c r="N52" s="272"/>
    </row>
    <row r="53" spans="1:14" s="3" customFormat="1" ht="12" customHeight="1" x14ac:dyDescent="0.2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  <c r="N53" s="272"/>
    </row>
    <row r="54" spans="1:14" s="3" customFormat="1" ht="12" customHeight="1" x14ac:dyDescent="0.2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  <c r="N54" s="272"/>
    </row>
    <row r="55" spans="1:14" s="3" customFormat="1" ht="12" customHeight="1" x14ac:dyDescent="0.15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  <c r="N55" s="272"/>
    </row>
    <row r="56" spans="1:14" s="3" customFormat="1" ht="12" customHeight="1" x14ac:dyDescent="0.15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7074980</v>
      </c>
      <c r="G56" s="18"/>
      <c r="H56" s="18"/>
      <c r="I56" s="18"/>
      <c r="J56" s="18"/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  <c r="N57" s="272"/>
    </row>
    <row r="58" spans="1:14" s="27" customFormat="1" ht="12" customHeight="1" thickBot="1" x14ac:dyDescent="0.2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  <c r="N58" s="273"/>
    </row>
    <row r="59" spans="1:14" s="27" customFormat="1" ht="12" customHeight="1" thickTop="1" x14ac:dyDescent="0.15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7074980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  <c r="N59" s="273"/>
    </row>
    <row r="60" spans="1:14" s="3" customFormat="1" ht="12" customHeight="1" x14ac:dyDescent="0.15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  <c r="N60" s="272"/>
    </row>
    <row r="61" spans="1:14" s="3" customFormat="1" ht="12" customHeight="1" x14ac:dyDescent="0.15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27" customFormat="1" ht="12" customHeight="1" x14ac:dyDescent="0.15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  <c r="N64" s="273"/>
    </row>
    <row r="65" spans="1:14" s="3" customFormat="1" ht="12" customHeight="1" x14ac:dyDescent="0.15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  <c r="N65" s="272"/>
    </row>
    <row r="66" spans="1:14" s="3" customFormat="1" ht="12" customHeight="1" x14ac:dyDescent="0.15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>
        <v>1369.5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/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ht="12" customHeight="1" thickBot="1" x14ac:dyDescent="0.25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N77" s="270"/>
    </row>
    <row r="78" spans="1:14" s="3" customFormat="1" ht="12" customHeight="1" thickTop="1" x14ac:dyDescent="0.15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1369.5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  <c r="N78" s="272"/>
    </row>
    <row r="79" spans="1:14" s="3" customFormat="1" ht="12" customHeight="1" x14ac:dyDescent="0.2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  <c r="N79" s="272"/>
    </row>
    <row r="80" spans="1:14" s="3" customFormat="1" ht="12" customHeight="1" x14ac:dyDescent="0.2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  <c r="N80" s="272"/>
    </row>
    <row r="81" spans="1:14" s="3" customFormat="1" ht="12" customHeight="1" x14ac:dyDescent="0.2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  <c r="N81" s="272"/>
    </row>
    <row r="82" spans="1:14" s="3" customFormat="1" ht="12" customHeight="1" x14ac:dyDescent="0.15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>
        <v>11176</v>
      </c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  <c r="N82" s="272"/>
    </row>
    <row r="83" spans="1:14" s="3" customFormat="1" ht="12" customHeight="1" x14ac:dyDescent="0.15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thickBot="1" x14ac:dyDescent="0.2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Top="1" x14ac:dyDescent="0.15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11176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  <c r="N93" s="272"/>
    </row>
    <row r="94" spans="1:14" s="3" customFormat="1" ht="12" customHeight="1" x14ac:dyDescent="0.15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  <c r="N94" s="272"/>
    </row>
    <row r="95" spans="1:14" s="3" customFormat="1" ht="12" customHeight="1" x14ac:dyDescent="0.15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497.84</v>
      </c>
      <c r="G95" s="18"/>
      <c r="H95" s="18"/>
      <c r="I95" s="18"/>
      <c r="J95" s="18">
        <v>1286.94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142618.28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>
        <v>2475</v>
      </c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>
        <v>3009.6</v>
      </c>
      <c r="I101" s="18"/>
      <c r="J101" s="18"/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>
        <v>38843.31</v>
      </c>
      <c r="G104" s="18"/>
      <c r="H104" s="18">
        <v>30146.17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>
        <v>16200.14</v>
      </c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thickBot="1" x14ac:dyDescent="0.2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v>210.8</v>
      </c>
      <c r="G109" s="18"/>
      <c r="H109" s="18"/>
      <c r="I109" s="18"/>
      <c r="J109" s="18"/>
      <c r="K109" s="24" t="s">
        <v>289</v>
      </c>
      <c r="L109" s="24" t="s">
        <v>289</v>
      </c>
      <c r="M109" s="8"/>
      <c r="N109" s="272"/>
    </row>
    <row r="110" spans="1:14" ht="12" customHeight="1" thickTop="1" thickBot="1" x14ac:dyDescent="0.25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58227.09</v>
      </c>
      <c r="G110" s="41">
        <f>SUM(G95:G109)</f>
        <v>142618.28</v>
      </c>
      <c r="H110" s="41">
        <f>SUM(H95:H109)</f>
        <v>33155.769999999997</v>
      </c>
      <c r="I110" s="41">
        <f>SUM(I95:I109)</f>
        <v>0</v>
      </c>
      <c r="J110" s="41">
        <f>SUM(J95:J109)</f>
        <v>1286.94</v>
      </c>
      <c r="K110" s="45" t="s">
        <v>289</v>
      </c>
      <c r="L110" s="45" t="s">
        <v>289</v>
      </c>
      <c r="N110" s="270"/>
    </row>
    <row r="111" spans="1:14" s="3" customFormat="1" ht="12" customHeight="1" thickTop="1" x14ac:dyDescent="0.15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7145752.5899999999</v>
      </c>
      <c r="G111" s="41">
        <f>G59+G110</f>
        <v>142618.28</v>
      </c>
      <c r="H111" s="41">
        <f>H59+H78+H93+H110</f>
        <v>33155.769999999997</v>
      </c>
      <c r="I111" s="41">
        <f>I59+I110</f>
        <v>0</v>
      </c>
      <c r="J111" s="41">
        <f>J59+J110</f>
        <v>1286.94</v>
      </c>
      <c r="K111" s="45" t="s">
        <v>289</v>
      </c>
      <c r="L111" s="45" t="s">
        <v>289</v>
      </c>
      <c r="M111" s="8"/>
      <c r="N111" s="272"/>
    </row>
    <row r="112" spans="1:14" s="3" customFormat="1" ht="12" customHeight="1" x14ac:dyDescent="0.2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  <c r="N112" s="272"/>
    </row>
    <row r="113" spans="1:14" s="3" customFormat="1" ht="12" customHeight="1" x14ac:dyDescent="0.2">
      <c r="A113" s="29" t="s">
        <v>320</v>
      </c>
      <c r="H113" s="23" t="s">
        <v>283</v>
      </c>
      <c r="K113" s="20"/>
      <c r="L113" s="20"/>
      <c r="M113" s="8"/>
      <c r="N113" s="272"/>
    </row>
    <row r="114" spans="1:14" s="3" customFormat="1" ht="12" customHeight="1" x14ac:dyDescent="0.2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  <c r="N114" s="272"/>
    </row>
    <row r="115" spans="1:14" s="3" customFormat="1" ht="12" customHeight="1" x14ac:dyDescent="0.15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  <c r="N115" s="272"/>
    </row>
    <row r="116" spans="1:14" s="3" customFormat="1" ht="12" customHeight="1" x14ac:dyDescent="0.15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1866979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1509655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3" t="s">
        <v>907</v>
      </c>
      <c r="B118" s="2" t="s">
        <v>322</v>
      </c>
      <c r="C118" s="6">
        <v>3</v>
      </c>
      <c r="D118" s="2" t="s">
        <v>431</v>
      </c>
      <c r="E118" s="6">
        <v>3119</v>
      </c>
      <c r="F118" s="24" t="s">
        <v>289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thickBot="1" x14ac:dyDescent="0.2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/>
      <c r="G119" s="18"/>
      <c r="H119" s="18"/>
      <c r="I119" s="18"/>
      <c r="J119" s="18"/>
      <c r="K119" s="24" t="s">
        <v>289</v>
      </c>
      <c r="L119" s="24" t="s">
        <v>289</v>
      </c>
      <c r="M119" s="8"/>
      <c r="N119" s="272"/>
    </row>
    <row r="120" spans="1:14" s="3" customFormat="1" ht="12" customHeight="1" thickTop="1" x14ac:dyDescent="0.15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3376634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  <c r="N120" s="272"/>
    </row>
    <row r="121" spans="1:14" s="3" customFormat="1" ht="12" customHeight="1" x14ac:dyDescent="0.15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  <c r="N121" s="272"/>
    </row>
    <row r="122" spans="1:14" s="3" customFormat="1" ht="12" customHeight="1" x14ac:dyDescent="0.15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  <c r="N123" s="272"/>
    </row>
    <row r="124" spans="1:14" s="3" customFormat="1" ht="12" customHeight="1" x14ac:dyDescent="0.15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  <c r="N124" s="272"/>
    </row>
    <row r="125" spans="1:14" s="3" customFormat="1" ht="12" customHeight="1" x14ac:dyDescent="0.15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>
        <v>41431.129999999997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2752.62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  <c r="N133" s="272"/>
    </row>
    <row r="134" spans="1:14" s="3" customFormat="1" ht="12" customHeight="1" thickBot="1" x14ac:dyDescent="0.2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  <c r="N134" s="272"/>
    </row>
    <row r="135" spans="1:14" s="3" customFormat="1" ht="12" customHeight="1" thickTop="1" x14ac:dyDescent="0.15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41431.129999999997</v>
      </c>
      <c r="G135" s="41">
        <f>SUM(G122:G134)</f>
        <v>2752.62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  <c r="N135" s="272"/>
    </row>
    <row r="136" spans="1:14" s="3" customFormat="1" ht="12" customHeight="1" x14ac:dyDescent="0.15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  <c r="N136" s="272"/>
    </row>
    <row r="137" spans="1:14" s="3" customFormat="1" ht="12" customHeight="1" x14ac:dyDescent="0.15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thickBot="1" x14ac:dyDescent="0.2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Top="1" x14ac:dyDescent="0.15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3418065.13</v>
      </c>
      <c r="G139" s="41">
        <f>G120+SUM(G135:G136)</f>
        <v>2752.62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  <c r="N139" s="272"/>
    </row>
    <row r="140" spans="1:14" s="3" customFormat="1" ht="12" customHeight="1" x14ac:dyDescent="0.2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  <c r="N140" s="272"/>
    </row>
    <row r="141" spans="1:14" s="3" customFormat="1" ht="12" customHeight="1" x14ac:dyDescent="0.2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  <c r="N141" s="272"/>
    </row>
    <row r="142" spans="1:14" s="3" customFormat="1" ht="12" customHeight="1" x14ac:dyDescent="0.2">
      <c r="A142" s="28" t="s">
        <v>457</v>
      </c>
      <c r="F142" s="16" t="s">
        <v>281</v>
      </c>
      <c r="G142" s="16" t="s">
        <v>282</v>
      </c>
      <c r="H142" s="224" t="s">
        <v>772</v>
      </c>
      <c r="I142" s="16" t="s">
        <v>284</v>
      </c>
      <c r="J142" s="16" t="s">
        <v>285</v>
      </c>
      <c r="K142" s="20"/>
      <c r="L142" s="20"/>
      <c r="M142" s="8"/>
      <c r="N142" s="272"/>
    </row>
    <row r="143" spans="1:14" s="3" customFormat="1" ht="12" customHeight="1" x14ac:dyDescent="0.15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  <c r="N143" s="272"/>
    </row>
    <row r="144" spans="1:14" s="3" customFormat="1" ht="12" customHeight="1" x14ac:dyDescent="0.15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thickBot="1" x14ac:dyDescent="0.2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Top="1" x14ac:dyDescent="0.15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0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  <c r="N146" s="272"/>
    </row>
    <row r="147" spans="1:14" s="3" customFormat="1" ht="12" customHeight="1" x14ac:dyDescent="0.15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  <c r="N147" s="272"/>
    </row>
    <row r="148" spans="1:14" s="3" customFormat="1" ht="12" customHeight="1" x14ac:dyDescent="0.15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31007.33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58904.86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62804.85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/>
      <c r="G158" s="24" t="s">
        <v>289</v>
      </c>
      <c r="H158" s="18">
        <v>143311.37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97054.92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thickBot="1" x14ac:dyDescent="0.2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Top="1" x14ac:dyDescent="0.15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97054.92</v>
      </c>
      <c r="G161" s="41">
        <f>SUM(G149:G160)</f>
        <v>62804.85</v>
      </c>
      <c r="H161" s="41">
        <f>SUM(H149:H160)</f>
        <v>233223.56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  <c r="N161" s="272"/>
    </row>
    <row r="162" spans="1:14" s="3" customFormat="1" ht="12" customHeight="1" x14ac:dyDescent="0.15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>
        <v>430.56</v>
      </c>
      <c r="I162" s="18"/>
      <c r="J162" s="24" t="s">
        <v>289</v>
      </c>
      <c r="K162" s="24" t="s">
        <v>289</v>
      </c>
      <c r="L162" s="24" t="s">
        <v>289</v>
      </c>
      <c r="M162" s="8"/>
      <c r="N162" s="272"/>
    </row>
    <row r="163" spans="1:14" s="3" customFormat="1" ht="12" customHeight="1" x14ac:dyDescent="0.15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thickBot="1" x14ac:dyDescent="0.2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Top="1" x14ac:dyDescent="0.15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97054.92</v>
      </c>
      <c r="G168" s="41">
        <f>G146+G161+SUM(G162:G167)</f>
        <v>62804.85</v>
      </c>
      <c r="H168" s="41">
        <f>H146+H161+SUM(H162:H167)</f>
        <v>233654.12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  <c r="N168" s="272"/>
    </row>
    <row r="169" spans="1:14" s="3" customFormat="1" ht="12" customHeight="1" x14ac:dyDescent="0.2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  <c r="N169" s="272"/>
    </row>
    <row r="170" spans="1:14" s="3" customFormat="1" ht="12" customHeight="1" x14ac:dyDescent="0.2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  <c r="N170" s="272"/>
    </row>
    <row r="171" spans="1:14" s="3" customFormat="1" ht="12" customHeight="1" x14ac:dyDescent="0.2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4" t="s">
        <v>772</v>
      </c>
      <c r="I171" s="16" t="s">
        <v>284</v>
      </c>
      <c r="J171" s="16" t="s">
        <v>285</v>
      </c>
      <c r="K171" s="20"/>
      <c r="L171" s="20"/>
      <c r="M171" s="8"/>
      <c r="N171" s="272"/>
    </row>
    <row r="172" spans="1:14" s="3" customFormat="1" ht="12" customHeight="1" x14ac:dyDescent="0.15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  <c r="N172" s="272"/>
    </row>
    <row r="173" spans="1:14" s="3" customFormat="1" ht="12" customHeight="1" x14ac:dyDescent="0.15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thickBot="1" x14ac:dyDescent="0.2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Top="1" x14ac:dyDescent="0.15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  <c r="N176" s="272"/>
    </row>
    <row r="177" spans="1:14" s="3" customFormat="1" ht="12" customHeight="1" x14ac:dyDescent="0.15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  <c r="N177" s="272"/>
    </row>
    <row r="178" spans="1:14" s="3" customFormat="1" ht="12" customHeight="1" x14ac:dyDescent="0.15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/>
      <c r="H178" s="18"/>
      <c r="I178" s="18"/>
      <c r="J178" s="18">
        <v>100000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thickBot="1" x14ac:dyDescent="0.2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Top="1" x14ac:dyDescent="0.15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0</v>
      </c>
      <c r="H182" s="41">
        <f>SUM(H178:H181)</f>
        <v>0</v>
      </c>
      <c r="I182" s="41">
        <f>SUM(I178:I181)</f>
        <v>0</v>
      </c>
      <c r="J182" s="41">
        <f>SUM(J178:J181)</f>
        <v>100000</v>
      </c>
      <c r="K182" s="45" t="s">
        <v>289</v>
      </c>
      <c r="L182" s="45" t="s">
        <v>289</v>
      </c>
      <c r="M182" s="8"/>
      <c r="N182" s="272"/>
    </row>
    <row r="183" spans="1:14" s="3" customFormat="1" ht="12" customHeight="1" x14ac:dyDescent="0.15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  <c r="N183" s="272"/>
    </row>
    <row r="184" spans="1:14" s="3" customFormat="1" ht="12" customHeight="1" x14ac:dyDescent="0.15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ht="12" customHeight="1" thickBot="1" x14ac:dyDescent="0.25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N186" s="270"/>
    </row>
    <row r="187" spans="1:14" ht="12" customHeight="1" thickTop="1" x14ac:dyDescent="0.2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  <c r="N187" s="270"/>
    </row>
    <row r="188" spans="1:14" s="3" customFormat="1" ht="12" customHeight="1" x14ac:dyDescent="0.15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  <c r="N188" s="272"/>
    </row>
    <row r="189" spans="1:14" s="3" customFormat="1" ht="12" customHeight="1" x14ac:dyDescent="0.15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thickBot="1" x14ac:dyDescent="0.2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Top="1" thickBot="1" x14ac:dyDescent="0.25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0</v>
      </c>
      <c r="H191" s="41">
        <f>+H182+SUM(H187:H190)</f>
        <v>0</v>
      </c>
      <c r="I191" s="41">
        <f>I176+I182+SUM(I187:I190)</f>
        <v>0</v>
      </c>
      <c r="J191" s="41">
        <f>J182</f>
        <v>100000</v>
      </c>
      <c r="K191" s="45" t="s">
        <v>289</v>
      </c>
      <c r="L191" s="45" t="s">
        <v>289</v>
      </c>
      <c r="M191" s="8"/>
      <c r="N191" s="272"/>
    </row>
    <row r="192" spans="1:14" s="3" customFormat="1" ht="12" customHeight="1" thickTop="1" x14ac:dyDescent="0.2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10660872.639999999</v>
      </c>
      <c r="G192" s="47">
        <f>G111+G139+G168+G191</f>
        <v>208175.75</v>
      </c>
      <c r="H192" s="47">
        <f>H111+H139+H168+H191</f>
        <v>266809.89</v>
      </c>
      <c r="I192" s="47">
        <f>I111+I139+I168+I191</f>
        <v>0</v>
      </c>
      <c r="J192" s="47">
        <f>J111+J139+J191</f>
        <v>101286.94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x14ac:dyDescent="0.15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  <c r="N193" s="272"/>
    </row>
    <row r="194" spans="1:14" s="3" customFormat="1" ht="12" customHeight="1" x14ac:dyDescent="0.15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  <c r="N194" s="272"/>
    </row>
    <row r="195" spans="1:14" s="3" customFormat="1" ht="12" customHeight="1" x14ac:dyDescent="0.15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  <c r="N195" s="272"/>
    </row>
    <row r="196" spans="1:14" s="3" customFormat="1" ht="12" customHeight="1" x14ac:dyDescent="0.15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v>2072698.23</v>
      </c>
      <c r="G196" s="18">
        <v>863294.96</v>
      </c>
      <c r="H196" s="18">
        <v>8599.7000000000007</v>
      </c>
      <c r="I196" s="18">
        <v>221652.89</v>
      </c>
      <c r="J196" s="18">
        <v>14522.72</v>
      </c>
      <c r="K196" s="18"/>
      <c r="L196" s="19">
        <f>SUM(F196:K196)</f>
        <v>3180768.5000000005</v>
      </c>
      <c r="M196" s="8"/>
      <c r="N196" s="272"/>
    </row>
    <row r="197" spans="1:14" s="3" customFormat="1" ht="12" customHeight="1" x14ac:dyDescent="0.15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v>674123.63</v>
      </c>
      <c r="G197" s="18">
        <v>239856.12</v>
      </c>
      <c r="H197" s="18">
        <v>174644.31</v>
      </c>
      <c r="I197" s="18">
        <v>1403.24</v>
      </c>
      <c r="J197" s="18">
        <v>1820.61</v>
      </c>
      <c r="K197" s="18">
        <v>476</v>
      </c>
      <c r="L197" s="19">
        <f>SUM(F197:K197)</f>
        <v>1092323.9100000001</v>
      </c>
      <c r="M197" s="8"/>
      <c r="N197" s="272"/>
    </row>
    <row r="198" spans="1:14" s="3" customFormat="1" ht="12" customHeight="1" x14ac:dyDescent="0.15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v>32514</v>
      </c>
      <c r="G199" s="18">
        <v>4320.18</v>
      </c>
      <c r="H199" s="18">
        <v>5146.71</v>
      </c>
      <c r="I199" s="18">
        <v>3201.1</v>
      </c>
      <c r="J199" s="18">
        <v>258.97000000000003</v>
      </c>
      <c r="K199" s="18">
        <v>550</v>
      </c>
      <c r="L199" s="19">
        <f>SUM(F199:K199)</f>
        <v>45990.96</v>
      </c>
      <c r="M199" s="8"/>
      <c r="N199" s="272"/>
    </row>
    <row r="200" spans="1:14" s="3" customFormat="1" ht="12" customHeight="1" x14ac:dyDescent="0.15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  <c r="N200" s="272"/>
    </row>
    <row r="201" spans="1:14" s="3" customFormat="1" ht="12" customHeight="1" x14ac:dyDescent="0.15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v>323360.82</v>
      </c>
      <c r="G201" s="18">
        <v>140150.82999999999</v>
      </c>
      <c r="H201" s="18">
        <v>146537.26999999999</v>
      </c>
      <c r="I201" s="18">
        <v>17699.75</v>
      </c>
      <c r="J201" s="18">
        <v>980</v>
      </c>
      <c r="K201" s="18">
        <v>2149.1999999999998</v>
      </c>
      <c r="L201" s="19">
        <f t="shared" ref="L201:L207" si="0">SUM(F201:K201)</f>
        <v>630877.87</v>
      </c>
      <c r="M201" s="8"/>
      <c r="N201" s="272"/>
    </row>
    <row r="202" spans="1:14" s="3" customFormat="1" ht="12" customHeight="1" x14ac:dyDescent="0.15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v>49304.55</v>
      </c>
      <c r="G202" s="18">
        <v>27559.91</v>
      </c>
      <c r="H202" s="18">
        <v>2524</v>
      </c>
      <c r="I202" s="18">
        <v>9667.08</v>
      </c>
      <c r="J202" s="18">
        <v>3545.49</v>
      </c>
      <c r="K202" s="18">
        <v>130</v>
      </c>
      <c r="L202" s="19">
        <f t="shared" si="0"/>
        <v>92731.030000000013</v>
      </c>
      <c r="M202" s="8"/>
      <c r="N202" s="272"/>
    </row>
    <row r="203" spans="1:14" s="3" customFormat="1" ht="12" customHeight="1" x14ac:dyDescent="0.15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10025</v>
      </c>
      <c r="G203" s="18">
        <v>887.91</v>
      </c>
      <c r="H203" s="18">
        <v>240703.25</v>
      </c>
      <c r="I203" s="18">
        <v>3531.93</v>
      </c>
      <c r="J203" s="18"/>
      <c r="K203" s="18">
        <v>4491.54</v>
      </c>
      <c r="L203" s="19">
        <f t="shared" si="0"/>
        <v>259639.63</v>
      </c>
      <c r="M203" s="8"/>
      <c r="N203" s="272"/>
    </row>
    <row r="204" spans="1:14" s="3" customFormat="1" ht="12" customHeight="1" x14ac:dyDescent="0.15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v>216331.23</v>
      </c>
      <c r="G204" s="18">
        <v>79748.11</v>
      </c>
      <c r="H204" s="18">
        <v>43065.79</v>
      </c>
      <c r="I204" s="18">
        <v>508.24</v>
      </c>
      <c r="J204" s="18"/>
      <c r="K204" s="18">
        <v>1064</v>
      </c>
      <c r="L204" s="19">
        <f t="shared" si="0"/>
        <v>340717.37</v>
      </c>
      <c r="M204" s="8"/>
      <c r="N204" s="272"/>
    </row>
    <row r="205" spans="1:14" s="3" customFormat="1" ht="12" customHeight="1" x14ac:dyDescent="0.15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v>181886.49</v>
      </c>
      <c r="G206" s="18">
        <v>90337.45</v>
      </c>
      <c r="H206" s="18">
        <v>150964.75</v>
      </c>
      <c r="I206" s="18">
        <v>152346.75</v>
      </c>
      <c r="J206" s="18">
        <v>33833</v>
      </c>
      <c r="K206" s="18"/>
      <c r="L206" s="19">
        <f t="shared" si="0"/>
        <v>609368.43999999994</v>
      </c>
      <c r="M206" s="8"/>
      <c r="N206" s="272"/>
    </row>
    <row r="207" spans="1:14" s="3" customFormat="1" ht="12" customHeight="1" x14ac:dyDescent="0.15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v>375180.44</v>
      </c>
      <c r="I207" s="18"/>
      <c r="J207" s="18"/>
      <c r="K207" s="18"/>
      <c r="L207" s="19">
        <f t="shared" si="0"/>
        <v>375180.44</v>
      </c>
      <c r="M207" s="8"/>
      <c r="N207" s="272"/>
    </row>
    <row r="208" spans="1:14" s="3" customFormat="1" ht="12" customHeight="1" x14ac:dyDescent="0.15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>
        <v>70687.009999999995</v>
      </c>
      <c r="G208" s="18">
        <v>14414.2</v>
      </c>
      <c r="H208" s="18">
        <v>8748.42</v>
      </c>
      <c r="I208" s="18">
        <v>17531.84</v>
      </c>
      <c r="J208" s="18">
        <v>28473.33</v>
      </c>
      <c r="K208" s="18">
        <v>214</v>
      </c>
      <c r="L208" s="19">
        <f>SUM(F208:K208)</f>
        <v>140068.79999999999</v>
      </c>
      <c r="M208" s="8"/>
      <c r="N208" s="272"/>
    </row>
    <row r="209" spans="1:14" s="3" customFormat="1" ht="12" customHeight="1" thickBot="1" x14ac:dyDescent="0.2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  <c r="N209" s="272"/>
    </row>
    <row r="210" spans="1:14" s="3" customFormat="1" ht="12" customHeight="1" thickTop="1" x14ac:dyDescent="0.15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3630930.959999999</v>
      </c>
      <c r="G210" s="41">
        <f t="shared" si="1"/>
        <v>1460569.67</v>
      </c>
      <c r="H210" s="41">
        <f t="shared" si="1"/>
        <v>1156114.6399999999</v>
      </c>
      <c r="I210" s="41">
        <f t="shared" si="1"/>
        <v>427542.82</v>
      </c>
      <c r="J210" s="41">
        <f t="shared" si="1"/>
        <v>83434.12</v>
      </c>
      <c r="K210" s="41">
        <f t="shared" si="1"/>
        <v>9074.74</v>
      </c>
      <c r="L210" s="41">
        <f t="shared" si="1"/>
        <v>6767666.9500000011</v>
      </c>
      <c r="M210" s="8"/>
      <c r="N210" s="272"/>
    </row>
    <row r="211" spans="1:14" s="3" customFormat="1" ht="12" customHeight="1" x14ac:dyDescent="0.15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  <c r="N211" s="272"/>
    </row>
    <row r="212" spans="1:14" s="3" customFormat="1" ht="12" customHeight="1" x14ac:dyDescent="0.15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  <c r="N212" s="272"/>
    </row>
    <row r="213" spans="1:14" s="3" customFormat="1" ht="12" customHeight="1" x14ac:dyDescent="0.15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  <c r="N213" s="272"/>
    </row>
    <row r="214" spans="1:14" s="3" customFormat="1" ht="12" customHeight="1" x14ac:dyDescent="0.15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  <c r="N214" s="272"/>
    </row>
    <row r="215" spans="1:14" s="3" customFormat="1" ht="12" customHeight="1" x14ac:dyDescent="0.15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  <c r="N218" s="272"/>
    </row>
    <row r="219" spans="1:14" s="3" customFormat="1" ht="12" customHeight="1" x14ac:dyDescent="0.15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  <c r="N219" s="272"/>
    </row>
    <row r="220" spans="1:14" s="3" customFormat="1" ht="12" customHeight="1" x14ac:dyDescent="0.15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  <c r="N220" s="272"/>
    </row>
    <row r="221" spans="1:14" s="3" customFormat="1" ht="12" customHeight="1" x14ac:dyDescent="0.15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  <c r="N226" s="272"/>
    </row>
    <row r="227" spans="1:14" s="3" customFormat="1" ht="12" customHeight="1" thickBot="1" x14ac:dyDescent="0.2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  <c r="N227" s="272"/>
    </row>
    <row r="228" spans="1:14" s="3" customFormat="1" ht="12" customHeight="1" thickTop="1" x14ac:dyDescent="0.15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  <c r="N228" s="272"/>
    </row>
    <row r="229" spans="1:14" s="3" customFormat="1" ht="12" customHeight="1" x14ac:dyDescent="0.15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  <c r="N229" s="272"/>
    </row>
    <row r="230" spans="1:14" s="3" customFormat="1" ht="12" customHeight="1" x14ac:dyDescent="0.15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  <c r="N230" s="272"/>
    </row>
    <row r="231" spans="1:14" s="3" customFormat="1" ht="12" customHeight="1" x14ac:dyDescent="0.15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  <c r="N231" s="272"/>
    </row>
    <row r="232" spans="1:14" s="3" customFormat="1" ht="12" customHeight="1" x14ac:dyDescent="0.15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2736355.76</v>
      </c>
      <c r="I232" s="18"/>
      <c r="J232" s="18"/>
      <c r="K232" s="18"/>
      <c r="L232" s="19">
        <f>SUM(F232:K232)</f>
        <v>2736355.76</v>
      </c>
      <c r="M232" s="8"/>
      <c r="N232" s="272"/>
    </row>
    <row r="233" spans="1:14" s="3" customFormat="1" ht="12" customHeight="1" x14ac:dyDescent="0.15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v>1012383.62</v>
      </c>
      <c r="I233" s="18"/>
      <c r="J233" s="18"/>
      <c r="K233" s="18"/>
      <c r="L233" s="19">
        <f>SUM(F233:K233)</f>
        <v>1012383.62</v>
      </c>
      <c r="M233" s="8"/>
      <c r="N233" s="272"/>
    </row>
    <row r="234" spans="1:14" s="3" customFormat="1" ht="12" customHeight="1" x14ac:dyDescent="0.15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  <c r="N236" s="272"/>
    </row>
    <row r="237" spans="1:14" s="3" customFormat="1" ht="12" customHeight="1" x14ac:dyDescent="0.15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  <c r="N237" s="272"/>
    </row>
    <row r="238" spans="1:14" s="3" customFormat="1" ht="12" customHeight="1" x14ac:dyDescent="0.15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  <c r="N238" s="272"/>
    </row>
    <row r="239" spans="1:14" s="3" customFormat="1" ht="12" customHeight="1" x14ac:dyDescent="0.15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v>182766.25</v>
      </c>
      <c r="I243" s="18"/>
      <c r="J243" s="18"/>
      <c r="K243" s="18"/>
      <c r="L243" s="19">
        <f t="shared" si="4"/>
        <v>182766.25</v>
      </c>
      <c r="M243" s="8"/>
      <c r="N243" s="272"/>
    </row>
    <row r="244" spans="1:14" s="3" customFormat="1" ht="12" customHeight="1" x14ac:dyDescent="0.15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  <c r="N244" s="272"/>
    </row>
    <row r="245" spans="1:14" s="3" customFormat="1" ht="12" customHeight="1" thickBot="1" x14ac:dyDescent="0.2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  <c r="N245" s="272"/>
    </row>
    <row r="246" spans="1:14" s="3" customFormat="1" ht="12" customHeight="1" thickTop="1" x14ac:dyDescent="0.15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3931505.63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3931505.63</v>
      </c>
      <c r="M246" s="8"/>
      <c r="N246" s="272"/>
    </row>
    <row r="247" spans="1:14" s="3" customFormat="1" ht="12" customHeight="1" x14ac:dyDescent="0.15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  <c r="N247" s="272"/>
    </row>
    <row r="248" spans="1:14" s="3" customFormat="1" ht="12" customHeight="1" x14ac:dyDescent="0.15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  <c r="N248" s="272"/>
    </row>
    <row r="249" spans="1:14" s="3" customFormat="1" ht="12" customHeight="1" x14ac:dyDescent="0.15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  <c r="N249" s="272"/>
    </row>
    <row r="250" spans="1:14" s="3" customFormat="1" ht="12" customHeight="1" x14ac:dyDescent="0.15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  <c r="N250" s="272"/>
    </row>
    <row r="251" spans="1:14" s="3" customFormat="1" ht="12" customHeight="1" x14ac:dyDescent="0.15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thickBot="1" x14ac:dyDescent="0.2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>
        <v>28575</v>
      </c>
      <c r="I254" s="18"/>
      <c r="J254" s="18"/>
      <c r="K254" s="18"/>
      <c r="L254" s="19">
        <f t="shared" si="6"/>
        <v>28575</v>
      </c>
      <c r="M254" s="8"/>
      <c r="N254" s="272"/>
    </row>
    <row r="255" spans="1:14" s="3" customFormat="1" ht="12" customHeight="1" thickTop="1" thickBot="1" x14ac:dyDescent="0.2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28575</v>
      </c>
      <c r="I255" s="41">
        <f t="shared" si="7"/>
        <v>0</v>
      </c>
      <c r="J255" s="41">
        <f t="shared" si="7"/>
        <v>0</v>
      </c>
      <c r="K255" s="41">
        <f t="shared" si="7"/>
        <v>0</v>
      </c>
      <c r="L255" s="41">
        <f>SUM(F255:K255)</f>
        <v>28575</v>
      </c>
      <c r="M255" s="8"/>
      <c r="N255" s="272"/>
    </row>
    <row r="256" spans="1:14" s="3" customFormat="1" ht="12" customHeight="1" thickTop="1" x14ac:dyDescent="0.15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3630930.959999999</v>
      </c>
      <c r="G256" s="41">
        <f t="shared" si="8"/>
        <v>1460569.67</v>
      </c>
      <c r="H256" s="41">
        <f t="shared" si="8"/>
        <v>5116195.2699999996</v>
      </c>
      <c r="I256" s="41">
        <f t="shared" si="8"/>
        <v>427542.82</v>
      </c>
      <c r="J256" s="41">
        <f t="shared" si="8"/>
        <v>83434.12</v>
      </c>
      <c r="K256" s="41">
        <f t="shared" si="8"/>
        <v>9074.74</v>
      </c>
      <c r="L256" s="41">
        <f t="shared" si="8"/>
        <v>10727747.580000002</v>
      </c>
      <c r="M256" s="8"/>
      <c r="N256" s="272"/>
    </row>
    <row r="257" spans="1:14" s="3" customFormat="1" ht="12" customHeight="1" x14ac:dyDescent="0.15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  <c r="N257" s="272"/>
    </row>
    <row r="258" spans="1:14" s="3" customFormat="1" ht="12" customHeight="1" x14ac:dyDescent="0.15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  <c r="N258" s="272"/>
    </row>
    <row r="259" spans="1:14" s="3" customFormat="1" ht="12" customHeight="1" x14ac:dyDescent="0.15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  <c r="N259" s="272"/>
    </row>
    <row r="260" spans="1:14" ht="12" customHeight="1" x14ac:dyDescent="0.2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N260" s="270"/>
    </row>
    <row r="261" spans="1:14" ht="12" customHeight="1" x14ac:dyDescent="0.2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  <c r="N261" s="270"/>
    </row>
    <row r="262" spans="1:14" ht="12" customHeight="1" x14ac:dyDescent="0.2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/>
      <c r="L262" s="19">
        <f>SUM(F262:K262)</f>
        <v>0</v>
      </c>
      <c r="N262" s="270"/>
    </row>
    <row r="263" spans="1:14" ht="12" customHeight="1" x14ac:dyDescent="0.2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  <c r="N263" s="270"/>
    </row>
    <row r="264" spans="1:14" ht="12" customHeight="1" x14ac:dyDescent="0.2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  <c r="N264" s="270"/>
    </row>
    <row r="265" spans="1:14" ht="12" customHeight="1" x14ac:dyDescent="0.2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100000</v>
      </c>
      <c r="L265" s="19">
        <f t="shared" si="9"/>
        <v>100000</v>
      </c>
      <c r="N265" s="270"/>
    </row>
    <row r="266" spans="1:14" ht="12" customHeight="1" x14ac:dyDescent="0.2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  <c r="N266" s="270"/>
    </row>
    <row r="267" spans="1:14" ht="12" customHeight="1" x14ac:dyDescent="0.2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  <c r="N267" s="270"/>
    </row>
    <row r="268" spans="1:14" ht="12" customHeight="1" thickBot="1" x14ac:dyDescent="0.25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Top="1" thickBot="1" x14ac:dyDescent="0.25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100000</v>
      </c>
      <c r="L269" s="41">
        <f t="shared" si="9"/>
        <v>100000</v>
      </c>
      <c r="N269" s="270"/>
    </row>
    <row r="270" spans="1:14" s="3" customFormat="1" ht="12" customHeight="1" thickTop="1" x14ac:dyDescent="0.2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3630930.959999999</v>
      </c>
      <c r="G270" s="42">
        <f t="shared" si="11"/>
        <v>1460569.67</v>
      </c>
      <c r="H270" s="42">
        <f t="shared" si="11"/>
        <v>5116195.2699999996</v>
      </c>
      <c r="I270" s="42">
        <f t="shared" si="11"/>
        <v>427542.82</v>
      </c>
      <c r="J270" s="42">
        <f t="shared" si="11"/>
        <v>83434.12</v>
      </c>
      <c r="K270" s="42">
        <f t="shared" si="11"/>
        <v>109074.74</v>
      </c>
      <c r="L270" s="42">
        <f t="shared" si="11"/>
        <v>10827747.580000002</v>
      </c>
      <c r="M270" s="8"/>
      <c r="N270" s="272"/>
    </row>
    <row r="271" spans="1:14" s="34" customFormat="1" ht="12" customHeight="1" x14ac:dyDescent="0.2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  <c r="N271" s="272"/>
    </row>
    <row r="272" spans="1:14" s="3" customFormat="1" ht="12" customHeight="1" x14ac:dyDescent="0.15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  <c r="N272" s="272"/>
    </row>
    <row r="273" spans="1:14" s="3" customFormat="1" ht="12" customHeight="1" x14ac:dyDescent="0.15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  <c r="N273" s="272"/>
    </row>
    <row r="274" spans="1:14" s="3" customFormat="1" ht="12" customHeight="1" x14ac:dyDescent="0.15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  <c r="N274" s="272"/>
    </row>
    <row r="275" spans="1:14" s="3" customFormat="1" ht="12" customHeight="1" x14ac:dyDescent="0.15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19390.8</f>
        <v>19390.8</v>
      </c>
      <c r="G275" s="18">
        <f>1483.2+2175.51</f>
        <v>3658.71</v>
      </c>
      <c r="H275" s="18">
        <f>600+1014.29</f>
        <v>1614.29</v>
      </c>
      <c r="I275" s="18"/>
      <c r="J275" s="18">
        <f>430.56</f>
        <v>430.56</v>
      </c>
      <c r="K275" s="18"/>
      <c r="L275" s="19">
        <f>SUM(F275:K275)</f>
        <v>25094.36</v>
      </c>
      <c r="M275" s="8"/>
      <c r="N275" s="272"/>
    </row>
    <row r="276" spans="1:14" s="3" customFormat="1" ht="12" customHeight="1" x14ac:dyDescent="0.15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>
        <f>719.46+35559.66+39841</f>
        <v>76120.12</v>
      </c>
      <c r="G276" s="18">
        <f>5568.76+4502.03</f>
        <v>10070.790000000001</v>
      </c>
      <c r="H276" s="18">
        <f>10000</f>
        <v>10000</v>
      </c>
      <c r="I276" s="18">
        <f>299.83</f>
        <v>299.83</v>
      </c>
      <c r="J276" s="18"/>
      <c r="K276" s="18"/>
      <c r="L276" s="19">
        <f>SUM(F276:K276)</f>
        <v>96490.74</v>
      </c>
      <c r="M276" s="8"/>
      <c r="N276" s="272"/>
    </row>
    <row r="277" spans="1:14" s="3" customFormat="1" ht="12" customHeight="1" x14ac:dyDescent="0.15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  <c r="N279" s="272"/>
    </row>
    <row r="280" spans="1:14" s="3" customFormat="1" ht="12" customHeight="1" x14ac:dyDescent="0.15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>
        <f>780+17735.76+16264.4</f>
        <v>34780.159999999996</v>
      </c>
      <c r="G280" s="18">
        <f>56.57+88.11+8644.5+431.9+35+63.35+1231.51+2004.15+1244.14</f>
        <v>13799.23</v>
      </c>
      <c r="H280" s="18">
        <f>560+14607.5+5000+3825</f>
        <v>23992.5</v>
      </c>
      <c r="I280" s="18">
        <f>136.48+955.5</f>
        <v>1091.98</v>
      </c>
      <c r="J280" s="18"/>
      <c r="K280" s="18"/>
      <c r="L280" s="19">
        <f t="shared" ref="L280:L286" si="12">SUM(F280:K280)</f>
        <v>73663.87</v>
      </c>
      <c r="M280" s="8"/>
      <c r="N280" s="272"/>
    </row>
    <row r="281" spans="1:14" s="3" customFormat="1" ht="12" customHeight="1" x14ac:dyDescent="0.15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>
        <f>1218.65+10313.27</f>
        <v>11531.92</v>
      </c>
      <c r="G281" s="18">
        <f>875.22+1239.64</f>
        <v>2114.86</v>
      </c>
      <c r="H281" s="18">
        <f>5060+8101.44+500+1035</f>
        <v>14696.439999999999</v>
      </c>
      <c r="I281" s="18">
        <f>2440.52</f>
        <v>2440.52</v>
      </c>
      <c r="J281" s="18"/>
      <c r="K281" s="18"/>
      <c r="L281" s="19">
        <f t="shared" si="12"/>
        <v>30783.74</v>
      </c>
      <c r="M281" s="8"/>
      <c r="N281" s="272"/>
    </row>
    <row r="282" spans="1:14" s="3" customFormat="1" ht="12" customHeight="1" x14ac:dyDescent="0.15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>
        <f>4804.8</f>
        <v>4804.8</v>
      </c>
      <c r="I283" s="18"/>
      <c r="J283" s="18"/>
      <c r="K283" s="18"/>
      <c r="L283" s="19">
        <f t="shared" si="12"/>
        <v>4804.8</v>
      </c>
      <c r="M283" s="8"/>
      <c r="N283" s="272"/>
    </row>
    <row r="284" spans="1:14" s="3" customFormat="1" ht="12" customHeight="1" x14ac:dyDescent="0.15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>
        <f>4095.31</f>
        <v>4095.31</v>
      </c>
      <c r="L284" s="19">
        <f t="shared" si="12"/>
        <v>4095.31</v>
      </c>
      <c r="M284" s="8"/>
      <c r="N284" s="272"/>
    </row>
    <row r="285" spans="1:14" s="3" customFormat="1" ht="12" customHeight="1" x14ac:dyDescent="0.15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>
        <f>3237.46</f>
        <v>3237.46</v>
      </c>
      <c r="G287" s="18">
        <f>247.67</f>
        <v>247.67</v>
      </c>
      <c r="H287" s="18">
        <v>2860</v>
      </c>
      <c r="I287" s="18">
        <v>1113.6400000000001</v>
      </c>
      <c r="J287" s="18">
        <v>24418.3</v>
      </c>
      <c r="K287" s="18"/>
      <c r="L287" s="19">
        <f>SUM(F287:K287)</f>
        <v>31877.07</v>
      </c>
      <c r="M287" s="8"/>
      <c r="N287" s="272"/>
    </row>
    <row r="288" spans="1:14" s="3" customFormat="1" ht="12" customHeight="1" thickBot="1" x14ac:dyDescent="0.2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  <c r="N288" s="272"/>
    </row>
    <row r="289" spans="1:14" s="3" customFormat="1" ht="12" customHeight="1" thickTop="1" x14ac:dyDescent="0.2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145060.46</v>
      </c>
      <c r="G289" s="42">
        <f t="shared" si="13"/>
        <v>29891.26</v>
      </c>
      <c r="H289" s="42">
        <f t="shared" si="13"/>
        <v>57968.03</v>
      </c>
      <c r="I289" s="42">
        <f t="shared" si="13"/>
        <v>4945.97</v>
      </c>
      <c r="J289" s="42">
        <f t="shared" si="13"/>
        <v>24848.86</v>
      </c>
      <c r="K289" s="42">
        <f t="shared" si="13"/>
        <v>4095.31</v>
      </c>
      <c r="L289" s="41">
        <f t="shared" si="13"/>
        <v>266809.88999999996</v>
      </c>
      <c r="M289" s="8"/>
      <c r="N289" s="272"/>
    </row>
    <row r="290" spans="1:14" s="3" customFormat="1" ht="12" customHeight="1" x14ac:dyDescent="0.2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  <c r="N290" s="272"/>
    </row>
    <row r="291" spans="1:14" s="3" customFormat="1" ht="12" customHeight="1" x14ac:dyDescent="0.15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  <c r="N291" s="272"/>
    </row>
    <row r="292" spans="1:14" s="3" customFormat="1" ht="12" customHeight="1" x14ac:dyDescent="0.15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  <c r="N292" s="272"/>
    </row>
    <row r="293" spans="1:14" s="3" customFormat="1" ht="12" customHeight="1" x14ac:dyDescent="0.15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  <c r="N293" s="272"/>
    </row>
    <row r="294" spans="1:14" s="3" customFormat="1" ht="12" customHeight="1" x14ac:dyDescent="0.15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  <c r="N294" s="272"/>
    </row>
    <row r="295" spans="1:14" s="3" customFormat="1" ht="12" customHeight="1" x14ac:dyDescent="0.15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  <c r="N298" s="272"/>
    </row>
    <row r="299" spans="1:14" s="3" customFormat="1" ht="12" customHeight="1" x14ac:dyDescent="0.15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  <c r="N299" s="272"/>
    </row>
    <row r="300" spans="1:14" s="3" customFormat="1" ht="12" customHeight="1" x14ac:dyDescent="0.15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  <c r="N300" s="272"/>
    </row>
    <row r="301" spans="1:14" s="3" customFormat="1" ht="12" customHeight="1" x14ac:dyDescent="0.15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  <c r="N306" s="272"/>
    </row>
    <row r="307" spans="1:14" s="3" customFormat="1" ht="12" customHeight="1" thickBot="1" x14ac:dyDescent="0.2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  <c r="N307" s="272"/>
    </row>
    <row r="308" spans="1:14" ht="12" customHeight="1" thickTop="1" x14ac:dyDescent="0.2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  <c r="N308" s="270"/>
    </row>
    <row r="309" spans="1:14" s="3" customFormat="1" ht="12" customHeight="1" x14ac:dyDescent="0.2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  <c r="N309" s="272"/>
    </row>
    <row r="310" spans="1:14" s="3" customFormat="1" ht="12" customHeight="1" x14ac:dyDescent="0.2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  <c r="N310" s="272"/>
    </row>
    <row r="311" spans="1:14" s="3" customFormat="1" ht="12" customHeight="1" x14ac:dyDescent="0.15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  <c r="N311" s="272"/>
    </row>
    <row r="312" spans="1:14" s="3" customFormat="1" ht="12" customHeight="1" x14ac:dyDescent="0.15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  <c r="N312" s="272"/>
    </row>
    <row r="313" spans="1:14" s="3" customFormat="1" ht="12" customHeight="1" x14ac:dyDescent="0.15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  <c r="N313" s="272"/>
    </row>
    <row r="314" spans="1:14" s="3" customFormat="1" ht="12" customHeight="1" x14ac:dyDescent="0.15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  <c r="N317" s="272"/>
    </row>
    <row r="318" spans="1:14" s="3" customFormat="1" ht="12" customHeight="1" x14ac:dyDescent="0.15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  <c r="N318" s="272"/>
    </row>
    <row r="319" spans="1:14" s="3" customFormat="1" ht="12" customHeight="1" x14ac:dyDescent="0.15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  <c r="N319" s="272"/>
    </row>
    <row r="320" spans="1:14" s="3" customFormat="1" ht="12" customHeight="1" x14ac:dyDescent="0.15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  <c r="N325" s="272"/>
    </row>
    <row r="326" spans="1:14" s="3" customFormat="1" ht="12" customHeight="1" thickBot="1" x14ac:dyDescent="0.2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  <c r="N326" s="272"/>
    </row>
    <row r="327" spans="1:14" s="3" customFormat="1" ht="12" customHeight="1" thickTop="1" x14ac:dyDescent="0.2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  <c r="N327" s="272"/>
    </row>
    <row r="328" spans="1:14" s="3" customFormat="1" ht="12" customHeight="1" x14ac:dyDescent="0.2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  <c r="N328" s="272"/>
    </row>
    <row r="329" spans="1:14" s="3" customFormat="1" ht="12" customHeight="1" x14ac:dyDescent="0.15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  <c r="N329" s="272"/>
    </row>
    <row r="330" spans="1:14" s="3" customFormat="1" ht="12" customHeight="1" x14ac:dyDescent="0.15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  <c r="N330" s="272"/>
    </row>
    <row r="331" spans="1:14" s="3" customFormat="1" ht="12" customHeight="1" x14ac:dyDescent="0.15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  <c r="N331" s="272"/>
    </row>
    <row r="332" spans="1:14" s="3" customFormat="1" ht="12" customHeight="1" x14ac:dyDescent="0.15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  <c r="N332" s="272"/>
    </row>
    <row r="333" spans="1:14" s="3" customFormat="1" ht="12" customHeight="1" x14ac:dyDescent="0.15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thickBot="1" x14ac:dyDescent="0.2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Top="1" thickBot="1" x14ac:dyDescent="0.2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  <c r="N336" s="272"/>
    </row>
    <row r="337" spans="1:43" s="3" customFormat="1" ht="12" customHeight="1" thickTop="1" x14ac:dyDescent="0.15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145060.46</v>
      </c>
      <c r="G337" s="41">
        <f t="shared" si="20"/>
        <v>29891.26</v>
      </c>
      <c r="H337" s="41">
        <f t="shared" si="20"/>
        <v>57968.03</v>
      </c>
      <c r="I337" s="41">
        <f t="shared" si="20"/>
        <v>4945.97</v>
      </c>
      <c r="J337" s="41">
        <f t="shared" si="20"/>
        <v>24848.86</v>
      </c>
      <c r="K337" s="41">
        <f t="shared" si="20"/>
        <v>4095.31</v>
      </c>
      <c r="L337" s="41">
        <f t="shared" si="20"/>
        <v>266809.88999999996</v>
      </c>
      <c r="M337" s="8"/>
      <c r="N337" s="272"/>
    </row>
    <row r="338" spans="1:43" s="3" customFormat="1" ht="12" customHeight="1" x14ac:dyDescent="0.15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  <c r="N338" s="272"/>
    </row>
    <row r="339" spans="1:43" s="3" customFormat="1" ht="12" customHeight="1" x14ac:dyDescent="0.15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  <c r="N339" s="272"/>
    </row>
    <row r="340" spans="1:43" s="3" customFormat="1" ht="12" customHeight="1" x14ac:dyDescent="0.15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  <c r="N340" s="272"/>
    </row>
    <row r="341" spans="1:43" s="3" customFormat="1" ht="12" customHeight="1" x14ac:dyDescent="0.15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12" customFormat="1" ht="12" customHeight="1" thickBot="1" x14ac:dyDescent="0.25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271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 x14ac:dyDescent="0.15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  <c r="N343" s="272"/>
    </row>
    <row r="344" spans="1:43" s="3" customFormat="1" ht="12" customHeight="1" x14ac:dyDescent="0.15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  <c r="N344" s="272"/>
    </row>
    <row r="345" spans="1:43" s="3" customFormat="1" ht="12" customHeight="1" x14ac:dyDescent="0.15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  <c r="N347" s="272"/>
    </row>
    <row r="348" spans="1:43" s="3" customFormat="1" ht="12" customHeight="1" x14ac:dyDescent="0.15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  <c r="N348" s="272"/>
    </row>
    <row r="349" spans="1:43" s="3" customFormat="1" ht="12" customHeight="1" thickBot="1" x14ac:dyDescent="0.2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Top="1" thickBot="1" x14ac:dyDescent="0.2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  <c r="N350" s="272"/>
    </row>
    <row r="351" spans="1:43" s="12" customFormat="1" ht="12" customHeight="1" thickTop="1" thickBot="1" x14ac:dyDescent="0.25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145060.46</v>
      </c>
      <c r="G351" s="41">
        <f>G337</f>
        <v>29891.26</v>
      </c>
      <c r="H351" s="41">
        <f>H337</f>
        <v>57968.03</v>
      </c>
      <c r="I351" s="41">
        <f>I337</f>
        <v>4945.97</v>
      </c>
      <c r="J351" s="41">
        <f>J337</f>
        <v>24848.86</v>
      </c>
      <c r="K351" s="47">
        <f>K337+K350</f>
        <v>4095.31</v>
      </c>
      <c r="L351" s="41">
        <f>L337+L350</f>
        <v>266809.88999999996</v>
      </c>
      <c r="M351" s="52"/>
      <c r="N351" s="271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 x14ac:dyDescent="0.15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  <c r="N352" s="272"/>
    </row>
    <row r="353" spans="1:14" s="3" customFormat="1" ht="12" customHeight="1" x14ac:dyDescent="0.2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  <c r="N353" s="272"/>
    </row>
    <row r="354" spans="1:14" s="3" customFormat="1" ht="12" customHeight="1" x14ac:dyDescent="0.15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  <c r="N354" s="272"/>
    </row>
    <row r="355" spans="1:14" s="3" customFormat="1" ht="12" customHeight="1" x14ac:dyDescent="0.15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  <c r="N355" s="272"/>
    </row>
    <row r="356" spans="1:14" s="3" customFormat="1" ht="12" customHeight="1" x14ac:dyDescent="0.15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14" ht="12" customHeight="1" x14ac:dyDescent="0.2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>
        <v>81703.12</v>
      </c>
      <c r="G357" s="18">
        <v>9277.56</v>
      </c>
      <c r="H357" s="18">
        <v>3327.09</v>
      </c>
      <c r="I357" s="18">
        <v>96872</v>
      </c>
      <c r="J357" s="18">
        <v>1632</v>
      </c>
      <c r="K357" s="18"/>
      <c r="L357" s="13">
        <f>SUM(F357:K357)</f>
        <v>192811.77</v>
      </c>
      <c r="N357" s="270"/>
    </row>
    <row r="358" spans="1:14" s="3" customFormat="1" ht="12" customHeight="1" x14ac:dyDescent="0.15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  <c r="N358" s="272"/>
    </row>
    <row r="359" spans="1:14" s="3" customFormat="1" ht="12" customHeight="1" x14ac:dyDescent="0.15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14" s="3" customFormat="1" ht="12" customHeight="1" thickBot="1" x14ac:dyDescent="0.2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  <c r="N360" s="272"/>
    </row>
    <row r="361" spans="1:14" s="3" customFormat="1" ht="12" customHeight="1" thickTop="1" x14ac:dyDescent="0.15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81703.12</v>
      </c>
      <c r="G361" s="47">
        <f t="shared" si="22"/>
        <v>9277.56</v>
      </c>
      <c r="H361" s="47">
        <f t="shared" si="22"/>
        <v>3327.09</v>
      </c>
      <c r="I361" s="47">
        <f t="shared" si="22"/>
        <v>96872</v>
      </c>
      <c r="J361" s="47">
        <f t="shared" si="22"/>
        <v>1632</v>
      </c>
      <c r="K361" s="47">
        <f t="shared" si="22"/>
        <v>0</v>
      </c>
      <c r="L361" s="47">
        <f t="shared" si="22"/>
        <v>192811.77</v>
      </c>
      <c r="M361" s="8"/>
      <c r="N361" s="272"/>
    </row>
    <row r="362" spans="1:14" s="3" customFormat="1" ht="12" customHeight="1" x14ac:dyDescent="0.15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  <c r="N362" s="272"/>
    </row>
    <row r="363" spans="1:14" s="3" customFormat="1" ht="12" customHeight="1" x14ac:dyDescent="0.15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14" s="3" customFormat="1" ht="12" customHeight="1" x14ac:dyDescent="0.15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  <c r="N364" s="272"/>
    </row>
    <row r="365" spans="1:14" s="3" customFormat="1" ht="12" customHeight="1" x14ac:dyDescent="0.15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  <c r="N365" s="272"/>
    </row>
    <row r="366" spans="1:14" s="3" customFormat="1" ht="12" customHeight="1" x14ac:dyDescent="0.15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91828.71</v>
      </c>
      <c r="G366" s="18"/>
      <c r="H366" s="18"/>
      <c r="I366" s="56">
        <f>SUM(F366:H366)</f>
        <v>91828.71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14" s="3" customFormat="1" ht="12" customHeight="1" thickBot="1" x14ac:dyDescent="0.2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5043.29</v>
      </c>
      <c r="G367" s="63"/>
      <c r="H367" s="63"/>
      <c r="I367" s="56">
        <f>SUM(F367:H367)</f>
        <v>5043.29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14" s="3" customFormat="1" ht="12" customHeight="1" thickTop="1" x14ac:dyDescent="0.15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96872</v>
      </c>
      <c r="G368" s="47">
        <f>SUM(G366:G367)</f>
        <v>0</v>
      </c>
      <c r="H368" s="47">
        <f>SUM(H366:H367)</f>
        <v>0</v>
      </c>
      <c r="I368" s="47">
        <f>SUM(I366:I367)</f>
        <v>96872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x14ac:dyDescent="0.15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  <c r="N369" s="272"/>
    </row>
    <row r="370" spans="1:14" s="3" customFormat="1" ht="12" customHeight="1" x14ac:dyDescent="0.15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  <c r="N370" s="272"/>
    </row>
    <row r="371" spans="1:14" s="3" customFormat="1" ht="12" customHeight="1" x14ac:dyDescent="0.15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  <c r="N371" s="272"/>
    </row>
    <row r="372" spans="1:14" s="3" customFormat="1" ht="12" customHeight="1" x14ac:dyDescent="0.15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  <c r="N372" s="272"/>
    </row>
    <row r="373" spans="1:14" s="3" customFormat="1" ht="12" customHeight="1" x14ac:dyDescent="0.15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  <c r="N373" s="272"/>
    </row>
    <row r="374" spans="1:14" s="3" customFormat="1" ht="12" customHeight="1" x14ac:dyDescent="0.15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  <c r="N374" s="272"/>
    </row>
    <row r="375" spans="1:14" s="3" customFormat="1" ht="12" customHeight="1" x14ac:dyDescent="0.15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  <c r="N375" s="272"/>
    </row>
    <row r="376" spans="1:14" s="3" customFormat="1" ht="12" customHeight="1" x14ac:dyDescent="0.15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thickBot="1" x14ac:dyDescent="0.2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  <c r="N380" s="272"/>
    </row>
    <row r="381" spans="1:14" s="3" customFormat="1" ht="12" customHeight="1" thickTop="1" x14ac:dyDescent="0.15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  <c r="N381" s="272"/>
    </row>
    <row r="382" spans="1:14" s="3" customFormat="1" ht="12" customHeight="1" x14ac:dyDescent="0.15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  <c r="N382" s="272"/>
    </row>
    <row r="383" spans="1:14" s="3" customFormat="1" ht="12" customHeight="1" x14ac:dyDescent="0.15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  <c r="N385" s="272"/>
    </row>
    <row r="386" spans="1:14" s="3" customFormat="1" ht="12" customHeight="1" x14ac:dyDescent="0.15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  <c r="N386" s="272"/>
    </row>
    <row r="387" spans="1:14" s="3" customFormat="1" ht="12" customHeight="1" x14ac:dyDescent="0.15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>
        <v>32000</v>
      </c>
      <c r="H387" s="18">
        <v>416.33</v>
      </c>
      <c r="I387" s="18"/>
      <c r="J387" s="24" t="s">
        <v>289</v>
      </c>
      <c r="K387" s="24" t="s">
        <v>289</v>
      </c>
      <c r="L387" s="56">
        <f t="shared" si="25"/>
        <v>32416.33</v>
      </c>
      <c r="M387" s="8"/>
      <c r="N387" s="272"/>
    </row>
    <row r="388" spans="1:14" s="3" customFormat="1" ht="12" customHeight="1" x14ac:dyDescent="0.15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thickBot="1" x14ac:dyDescent="0.2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Top="1" x14ac:dyDescent="0.15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32000</v>
      </c>
      <c r="H392" s="139">
        <f>SUM(H386:H391)</f>
        <v>416.33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32416.33</v>
      </c>
      <c r="M392" s="8"/>
      <c r="N392" s="272"/>
    </row>
    <row r="393" spans="1:14" s="3" customFormat="1" ht="12" customHeight="1" x14ac:dyDescent="0.15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  <c r="N393" s="272"/>
    </row>
    <row r="394" spans="1:14" s="3" customFormat="1" ht="12" customHeight="1" x14ac:dyDescent="0.15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  <c r="N394" s="272"/>
    </row>
    <row r="395" spans="1:14" s="3" customFormat="1" ht="12" customHeight="1" x14ac:dyDescent="0.15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si="26"/>
        <v>0</v>
      </c>
      <c r="M395" s="8"/>
      <c r="N395" s="272"/>
    </row>
    <row r="396" spans="1:14" s="3" customFormat="1" ht="12" customHeight="1" x14ac:dyDescent="0.15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403.64</v>
      </c>
      <c r="I396" s="18"/>
      <c r="J396" s="24" t="s">
        <v>289</v>
      </c>
      <c r="K396" s="24" t="s">
        <v>289</v>
      </c>
      <c r="L396" s="56">
        <f t="shared" si="26"/>
        <v>403.64</v>
      </c>
      <c r="M396" s="8"/>
      <c r="N396" s="272"/>
    </row>
    <row r="397" spans="1:14" s="3" customFormat="1" ht="12" customHeight="1" x14ac:dyDescent="0.15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thickBot="1" x14ac:dyDescent="0.2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>
        <v>68000</v>
      </c>
      <c r="H399" s="18">
        <v>466.97</v>
      </c>
      <c r="I399" s="18"/>
      <c r="J399" s="24" t="s">
        <v>289</v>
      </c>
      <c r="K399" s="24" t="s">
        <v>289</v>
      </c>
      <c r="L399" s="56">
        <f t="shared" si="26"/>
        <v>68466.97</v>
      </c>
      <c r="M399" s="8"/>
      <c r="N399" s="272"/>
    </row>
    <row r="400" spans="1:14" s="3" customFormat="1" ht="12" customHeight="1" thickTop="1" x14ac:dyDescent="0.15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68000</v>
      </c>
      <c r="H400" s="47">
        <f>SUM(H394:H399)</f>
        <v>870.61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68870.61</v>
      </c>
      <c r="M400" s="8"/>
      <c r="N400" s="272"/>
    </row>
    <row r="401" spans="1:21" s="3" customFormat="1" ht="12" customHeight="1" x14ac:dyDescent="0.15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  <c r="N401" s="272"/>
    </row>
    <row r="402" spans="1:21" s="3" customFormat="1" ht="12" customHeight="1" x14ac:dyDescent="0.15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thickBot="1" x14ac:dyDescent="0.2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Top="1" thickBot="1" x14ac:dyDescent="0.2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  <c r="N406" s="272"/>
    </row>
    <row r="407" spans="1:21" s="3" customFormat="1" ht="12" customHeight="1" thickTop="1" x14ac:dyDescent="0.15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100000</v>
      </c>
      <c r="H407" s="47">
        <f>H392+H400+H406</f>
        <v>1286.94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101286.94</v>
      </c>
      <c r="M407" s="8"/>
      <c r="N407" s="272"/>
    </row>
    <row r="408" spans="1:21" s="3" customFormat="1" ht="12" customHeight="1" x14ac:dyDescent="0.15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  <c r="N408" s="272"/>
    </row>
    <row r="409" spans="1:21" s="3" customFormat="1" ht="12" customHeight="1" x14ac:dyDescent="0.15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  <c r="N409" s="272"/>
    </row>
    <row r="410" spans="1:21" s="3" customFormat="1" ht="12" customHeight="1" x14ac:dyDescent="0.15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  <c r="N410" s="272"/>
    </row>
    <row r="411" spans="1:21" s="3" customFormat="1" ht="12" customHeight="1" x14ac:dyDescent="0.15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  <c r="N411" s="272"/>
    </row>
    <row r="412" spans="1:21" s="3" customFormat="1" ht="12" customHeight="1" x14ac:dyDescent="0.15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  <c r="N412" s="272"/>
    </row>
    <row r="413" spans="1:21" s="12" customFormat="1" ht="12" customHeight="1" thickBot="1" x14ac:dyDescent="0.25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271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 x14ac:dyDescent="0.15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227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 x14ac:dyDescent="0.15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  <c r="N415" s="272"/>
    </row>
    <row r="416" spans="1:21" s="3" customFormat="1" ht="12" customHeight="1" x14ac:dyDescent="0.15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thickBot="1" x14ac:dyDescent="0.2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Top="1" x14ac:dyDescent="0.15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  <c r="N418" s="272"/>
    </row>
    <row r="419" spans="1:21" s="3" customFormat="1" ht="12" customHeight="1" x14ac:dyDescent="0.15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  <c r="N419" s="272"/>
    </row>
    <row r="420" spans="1:21" s="3" customFormat="1" ht="12" customHeight="1" x14ac:dyDescent="0.15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  <c r="N420" s="272"/>
    </row>
    <row r="421" spans="1:21" s="3" customFormat="1" ht="12" customHeight="1" x14ac:dyDescent="0.15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  <c r="N421" s="272"/>
    </row>
    <row r="422" spans="1:21" s="3" customFormat="1" ht="12" customHeight="1" x14ac:dyDescent="0.15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thickBot="1" x14ac:dyDescent="0.2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Top="1" x14ac:dyDescent="0.15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  <c r="N426" s="272"/>
    </row>
    <row r="427" spans="1:21" s="11" customFormat="1" ht="12" customHeight="1" x14ac:dyDescent="0.15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227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 x14ac:dyDescent="0.15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  <c r="N428" s="227"/>
    </row>
    <row r="429" spans="1:21" s="58" customFormat="1" ht="12" customHeight="1" x14ac:dyDescent="0.15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ht="12" customHeight="1" x14ac:dyDescent="0.2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N430" s="270"/>
    </row>
    <row r="431" spans="1:21" s="3" customFormat="1" ht="12" customHeight="1" thickBot="1" x14ac:dyDescent="0.2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  <c r="N431" s="272"/>
    </row>
    <row r="432" spans="1:21" s="3" customFormat="1" ht="12" customHeight="1" thickTop="1" thickBot="1" x14ac:dyDescent="0.2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  <c r="N432" s="272"/>
    </row>
    <row r="433" spans="1:14" s="3" customFormat="1" ht="12" customHeight="1" thickTop="1" x14ac:dyDescent="0.15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  <c r="N433" s="272"/>
    </row>
    <row r="434" spans="1:14" s="3" customFormat="1" ht="12" customHeight="1" x14ac:dyDescent="0.15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  <c r="N434" s="272"/>
    </row>
    <row r="435" spans="1:14" s="3" customFormat="1" ht="12" customHeight="1" x14ac:dyDescent="0.15">
      <c r="A435" s="34" t="s">
        <v>0</v>
      </c>
      <c r="K435" s="56"/>
      <c r="L435" s="13"/>
      <c r="M435" s="8"/>
      <c r="N435" s="272"/>
    </row>
    <row r="436" spans="1:14" s="3" customFormat="1" ht="12" customHeight="1" x14ac:dyDescent="0.15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  <c r="N436" s="272"/>
    </row>
    <row r="437" spans="1:14" s="3" customFormat="1" ht="12" customHeight="1" x14ac:dyDescent="0.15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  <c r="N437" s="272"/>
    </row>
    <row r="438" spans="1:14" s="3" customFormat="1" ht="12" customHeight="1" x14ac:dyDescent="0.15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/>
      <c r="H438" s="18"/>
      <c r="I438" s="56">
        <f t="shared" ref="I438:I444" si="33">SUM(F438:H438)</f>
        <v>0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>
        <v>132711.99</v>
      </c>
      <c r="G440" s="18">
        <v>278581.36</v>
      </c>
      <c r="H440" s="18"/>
      <c r="I440" s="56">
        <f t="shared" si="33"/>
        <v>411293.35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thickBot="1" x14ac:dyDescent="0.2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132711.99</v>
      </c>
      <c r="G445" s="13">
        <f>SUM(G438:G444)</f>
        <v>278581.36</v>
      </c>
      <c r="H445" s="13">
        <f>SUM(H438:H444)</f>
        <v>0</v>
      </c>
      <c r="I445" s="13">
        <f>SUM(I438:I444)</f>
        <v>411293.35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Top="1" x14ac:dyDescent="0.15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x14ac:dyDescent="0.15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thickBot="1" x14ac:dyDescent="0.2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Top="1" x14ac:dyDescent="0.15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x14ac:dyDescent="0.15">
      <c r="A453" s="1" t="s">
        <v>874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867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  <c r="N454" s="272"/>
    </row>
    <row r="455" spans="1:23" s="3" customFormat="1" ht="12" customHeight="1" x14ac:dyDescent="0.15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/>
      <c r="H455" s="18"/>
      <c r="I455" s="56">
        <f t="shared" si="34"/>
        <v>0</v>
      </c>
      <c r="J455" s="24" t="s">
        <v>289</v>
      </c>
      <c r="K455" s="24" t="s">
        <v>289</v>
      </c>
      <c r="L455" s="24" t="s">
        <v>289</v>
      </c>
      <c r="M455" s="8"/>
      <c r="N455" s="272"/>
    </row>
    <row r="456" spans="1:23" s="3" customFormat="1" ht="12" customHeight="1" x14ac:dyDescent="0.15">
      <c r="A456" s="1" t="s">
        <v>870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227"/>
      <c r="O456" s="58"/>
      <c r="P456" s="58"/>
    </row>
    <row r="457" spans="1:23" s="12" customFormat="1" ht="12" customHeight="1" thickBot="1" x14ac:dyDescent="0.25">
      <c r="A457" s="1" t="s">
        <v>871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271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 x14ac:dyDescent="0.25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>
        <v>132711.99</v>
      </c>
      <c r="G458" s="18">
        <v>278581.36</v>
      </c>
      <c r="H458" s="18"/>
      <c r="I458" s="56">
        <f t="shared" si="34"/>
        <v>411293.35</v>
      </c>
      <c r="J458" s="24" t="s">
        <v>289</v>
      </c>
      <c r="K458" s="24" t="s">
        <v>289</v>
      </c>
      <c r="L458" s="24" t="s">
        <v>289</v>
      </c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 x14ac:dyDescent="0.25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132711.99</v>
      </c>
      <c r="G459" s="83">
        <f>SUM(G453:G458)</f>
        <v>278581.36</v>
      </c>
      <c r="H459" s="83">
        <f>SUM(H453:H458)</f>
        <v>0</v>
      </c>
      <c r="I459" s="83">
        <f>SUM(I453:I458)</f>
        <v>411293.35</v>
      </c>
      <c r="J459" s="24" t="s">
        <v>289</v>
      </c>
      <c r="K459" s="24" t="s">
        <v>289</v>
      </c>
      <c r="L459" s="24" t="s">
        <v>289</v>
      </c>
      <c r="N459" s="271"/>
    </row>
    <row r="460" spans="1:23" s="52" customFormat="1" ht="12" customHeight="1" thickTop="1" x14ac:dyDescent="0.2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132711.99</v>
      </c>
      <c r="G460" s="42">
        <f>G451+G459</f>
        <v>278581.36</v>
      </c>
      <c r="H460" s="42">
        <f>H451+H459</f>
        <v>0</v>
      </c>
      <c r="I460" s="42">
        <f>I451+I459</f>
        <v>411293.35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x14ac:dyDescent="0.2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  <c r="N461" s="271"/>
    </row>
    <row r="462" spans="1:23" s="52" customFormat="1" ht="12" customHeight="1" x14ac:dyDescent="0.2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  <c r="N462" s="271"/>
    </row>
    <row r="463" spans="1:23" s="52" customFormat="1" ht="12" customHeight="1" x14ac:dyDescent="0.2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  <c r="N463" s="271"/>
    </row>
    <row r="464" spans="1:23" s="52" customFormat="1" ht="12" customHeight="1" x14ac:dyDescent="0.2">
      <c r="A464" s="189" t="s">
        <v>899</v>
      </c>
      <c r="B464" s="105">
        <v>19</v>
      </c>
      <c r="C464" s="111">
        <v>1</v>
      </c>
      <c r="D464" s="2" t="s">
        <v>433</v>
      </c>
      <c r="E464" s="111"/>
      <c r="F464" s="18">
        <v>476277.7</v>
      </c>
      <c r="G464" s="18">
        <v>42391.93</v>
      </c>
      <c r="H464" s="18"/>
      <c r="I464" s="18"/>
      <c r="J464" s="18">
        <v>310006.40999999997</v>
      </c>
      <c r="K464" s="24" t="s">
        <v>289</v>
      </c>
      <c r="L464" s="24" t="s">
        <v>289</v>
      </c>
      <c r="N464" s="271"/>
    </row>
    <row r="465" spans="1:14" s="52" customFormat="1" ht="12" customHeight="1" x14ac:dyDescent="0.2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10660872.640000001</v>
      </c>
      <c r="G467" s="18">
        <v>208175.75</v>
      </c>
      <c r="H467" s="18">
        <v>266809.89</v>
      </c>
      <c r="I467" s="18"/>
      <c r="J467" s="18">
        <v>101286.94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10660872.640000001</v>
      </c>
      <c r="G469" s="53">
        <f>SUM(G467:G468)</f>
        <v>208175.75</v>
      </c>
      <c r="H469" s="53">
        <f>SUM(H467:H468)</f>
        <v>266809.89</v>
      </c>
      <c r="I469" s="53">
        <f>SUM(I467:I468)</f>
        <v>0</v>
      </c>
      <c r="J469" s="53">
        <f>SUM(J467:J468)</f>
        <v>101286.94</v>
      </c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v>10827747.58</v>
      </c>
      <c r="G471" s="18">
        <v>192811.77</v>
      </c>
      <c r="H471" s="18">
        <v>266809.89</v>
      </c>
      <c r="I471" s="18"/>
      <c r="J471" s="18"/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10827747.58</v>
      </c>
      <c r="G473" s="53">
        <f>SUM(G471:G472)</f>
        <v>192811.77</v>
      </c>
      <c r="H473" s="53">
        <f>SUM(H471:H472)</f>
        <v>266809.89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190" t="s">
        <v>900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309402.75999999978</v>
      </c>
      <c r="G475" s="53">
        <f>(G464+G469)- G473</f>
        <v>57755.91</v>
      </c>
      <c r="H475" s="53">
        <f>(H464+H469)- H473</f>
        <v>0</v>
      </c>
      <c r="I475" s="53">
        <f>(I464+I469)- I473</f>
        <v>0</v>
      </c>
      <c r="J475" s="53">
        <f>(J464+J469)- J473</f>
        <v>411293.35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  <c r="N476" s="271"/>
    </row>
    <row r="477" spans="1:14" s="52" customFormat="1" ht="12" customHeight="1" x14ac:dyDescent="0.2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  <c r="N478" s="271"/>
    </row>
    <row r="479" spans="1:14" s="52" customFormat="1" ht="12" customHeight="1" x14ac:dyDescent="0.2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  <c r="N479" s="271"/>
    </row>
    <row r="480" spans="1:14" s="52" customFormat="1" ht="12" customHeight="1" x14ac:dyDescent="0.2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  <c r="N480" s="271"/>
    </row>
    <row r="481" spans="1:14" s="52" customFormat="1" ht="12" customHeight="1" x14ac:dyDescent="0.2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  <c r="N481" s="271"/>
    </row>
    <row r="482" spans="1:14" s="52" customFormat="1" ht="12" customHeight="1" x14ac:dyDescent="0.2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  <c r="N484" s="271"/>
    </row>
    <row r="485" spans="1:14" s="52" customFormat="1" ht="12" customHeight="1" x14ac:dyDescent="0.2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  <c r="N485" s="271"/>
    </row>
    <row r="486" spans="1:14" s="52" customFormat="1" ht="12" customHeight="1" x14ac:dyDescent="0.2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  <c r="N486" s="271"/>
    </row>
    <row r="487" spans="1:14" s="52" customFormat="1" ht="12" customHeight="1" x14ac:dyDescent="0.2">
      <c r="A487" s="147" t="s">
        <v>901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  <c r="N487" s="271"/>
    </row>
    <row r="488" spans="1:14" s="52" customFormat="1" ht="12" customHeight="1" x14ac:dyDescent="0.2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  <c r="N488" s="271"/>
    </row>
    <row r="489" spans="1:14" s="52" customFormat="1" ht="12" customHeight="1" x14ac:dyDescent="0.2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  <c r="N489" s="271"/>
    </row>
    <row r="490" spans="1:14" s="52" customFormat="1" ht="12" customHeight="1" x14ac:dyDescent="0.2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  <c r="N494" s="271"/>
    </row>
    <row r="495" spans="1:14" s="52" customFormat="1" ht="12" customHeight="1" x14ac:dyDescent="0.2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  <c r="N496" s="271"/>
    </row>
    <row r="497" spans="1:14" s="52" customFormat="1" ht="12" customHeight="1" x14ac:dyDescent="0.2">
      <c r="A497" s="200" t="s">
        <v>626</v>
      </c>
      <c r="B497" s="201">
        <v>20</v>
      </c>
      <c r="C497" s="202">
        <v>9</v>
      </c>
      <c r="D497" s="203" t="s">
        <v>433</v>
      </c>
      <c r="E497" s="202"/>
      <c r="F497" s="204"/>
      <c r="G497" s="204"/>
      <c r="H497" s="204"/>
      <c r="I497" s="204"/>
      <c r="J497" s="204"/>
      <c r="K497" s="205">
        <f t="shared" si="35"/>
        <v>0</v>
      </c>
      <c r="L497" s="206" t="s">
        <v>289</v>
      </c>
      <c r="N497" s="271"/>
    </row>
    <row r="498" spans="1:14" s="52" customFormat="1" ht="12" customHeight="1" thickBot="1" x14ac:dyDescent="0.25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  <c r="N498" s="271"/>
    </row>
    <row r="499" spans="1:14" s="52" customFormat="1" ht="12" customHeight="1" thickTop="1" x14ac:dyDescent="0.2">
      <c r="A499" s="139" t="s">
        <v>628</v>
      </c>
      <c r="B499" s="44">
        <v>20</v>
      </c>
      <c r="C499" s="195">
        <v>11</v>
      </c>
      <c r="D499" s="39" t="s">
        <v>433</v>
      </c>
      <c r="E499" s="195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  <c r="N499" s="271"/>
    </row>
    <row r="500" spans="1:14" s="52" customFormat="1" ht="12" customHeight="1" x14ac:dyDescent="0.2">
      <c r="A500" s="200" t="s">
        <v>655</v>
      </c>
      <c r="B500" s="201">
        <v>20</v>
      </c>
      <c r="C500" s="202">
        <v>12</v>
      </c>
      <c r="D500" s="203" t="s">
        <v>433</v>
      </c>
      <c r="E500" s="202"/>
      <c r="F500" s="204"/>
      <c r="G500" s="204"/>
      <c r="H500" s="204"/>
      <c r="I500" s="204"/>
      <c r="J500" s="204"/>
      <c r="K500" s="205">
        <f t="shared" si="35"/>
        <v>0</v>
      </c>
      <c r="L500" s="206" t="s">
        <v>289</v>
      </c>
      <c r="N500" s="271"/>
    </row>
    <row r="501" spans="1:14" s="52" customFormat="1" ht="12" customHeight="1" thickBot="1" x14ac:dyDescent="0.25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  <c r="N501" s="271"/>
    </row>
    <row r="502" spans="1:14" s="52" customFormat="1" ht="12" customHeight="1" thickTop="1" x14ac:dyDescent="0.2">
      <c r="A502" s="139" t="s">
        <v>630</v>
      </c>
      <c r="B502" s="44">
        <v>20</v>
      </c>
      <c r="C502" s="195">
        <v>14</v>
      </c>
      <c r="D502" s="39" t="s">
        <v>433</v>
      </c>
      <c r="E502" s="195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  <c r="N502" s="271"/>
    </row>
    <row r="503" spans="1:14" s="52" customFormat="1" ht="12" customHeight="1" x14ac:dyDescent="0.2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  <c r="N503" s="271"/>
    </row>
    <row r="504" spans="1:14" s="52" customFormat="1" ht="12" customHeight="1" x14ac:dyDescent="0.2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  <c r="N505" s="271"/>
    </row>
    <row r="506" spans="1:14" s="52" customFormat="1" ht="12" customHeight="1" x14ac:dyDescent="0.2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  <c r="N507" s="271"/>
    </row>
    <row r="508" spans="1:14" s="52" customFormat="1" ht="12" customHeight="1" x14ac:dyDescent="0.2">
      <c r="A508" s="147" t="s">
        <v>902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  <c r="N508" s="271"/>
    </row>
    <row r="509" spans="1:14" s="52" customFormat="1" ht="12" customHeight="1" x14ac:dyDescent="0.2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  <c r="N509" s="271"/>
    </row>
    <row r="510" spans="1:14" s="52" customFormat="1" ht="12" customHeight="1" x14ac:dyDescent="0.2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  <c r="N510" s="271"/>
    </row>
    <row r="511" spans="1:14" s="52" customFormat="1" ht="12" customHeight="1" x14ac:dyDescent="0.2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thickBot="1" x14ac:dyDescent="0.25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Top="1" x14ac:dyDescent="0.2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x14ac:dyDescent="0.2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  <c r="N517" s="271"/>
    </row>
    <row r="518" spans="1:14" s="52" customFormat="1" ht="12" customHeight="1" x14ac:dyDescent="0.2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  <c r="N518" s="271"/>
    </row>
    <row r="519" spans="1:14" s="52" customFormat="1" ht="12" customHeight="1" x14ac:dyDescent="0.2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  <c r="N519" s="271"/>
    </row>
    <row r="520" spans="1:14" s="52" customFormat="1" ht="12" customHeight="1" x14ac:dyDescent="0.2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v>642579.06999999995</v>
      </c>
      <c r="G520" s="18">
        <v>193109.36</v>
      </c>
      <c r="H520" s="18">
        <v>27566.560000000001</v>
      </c>
      <c r="I520" s="18">
        <v>1703.07</v>
      </c>
      <c r="J520" s="18">
        <v>1820.61</v>
      </c>
      <c r="K520" s="18"/>
      <c r="L520" s="88">
        <f>SUM(F520:K520)</f>
        <v>866778.66999999993</v>
      </c>
      <c r="N520" s="271"/>
    </row>
    <row r="521" spans="1:14" s="52" customFormat="1" ht="12" customHeight="1" x14ac:dyDescent="0.2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thickBot="1" x14ac:dyDescent="0.25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>
        <v>967210.15</v>
      </c>
      <c r="I522" s="18"/>
      <c r="J522" s="18"/>
      <c r="K522" s="18"/>
      <c r="L522" s="88">
        <f>SUM(F522:K522)</f>
        <v>967210.15</v>
      </c>
      <c r="N522" s="271"/>
    </row>
    <row r="523" spans="1:14" s="52" customFormat="1" ht="12" customHeight="1" thickTop="1" x14ac:dyDescent="0.2">
      <c r="A523" s="139" t="s">
        <v>63</v>
      </c>
      <c r="B523" s="107">
        <v>21</v>
      </c>
      <c r="C523" s="195">
        <v>4</v>
      </c>
      <c r="D523" s="196" t="s">
        <v>433</v>
      </c>
      <c r="E523" s="195"/>
      <c r="F523" s="108">
        <f>SUM(F520:F522)</f>
        <v>642579.06999999995</v>
      </c>
      <c r="G523" s="108">
        <f t="shared" ref="G523:L523" si="36">SUM(G520:G522)</f>
        <v>193109.36</v>
      </c>
      <c r="H523" s="108">
        <f t="shared" si="36"/>
        <v>994776.71000000008</v>
      </c>
      <c r="I523" s="108">
        <f t="shared" si="36"/>
        <v>1703.07</v>
      </c>
      <c r="J523" s="108">
        <f t="shared" si="36"/>
        <v>1820.61</v>
      </c>
      <c r="K523" s="108">
        <f t="shared" si="36"/>
        <v>0</v>
      </c>
      <c r="L523" s="89">
        <f t="shared" si="36"/>
        <v>1833988.8199999998</v>
      </c>
      <c r="N523" s="271"/>
    </row>
    <row r="524" spans="1:14" s="52" customFormat="1" ht="12" customHeight="1" x14ac:dyDescent="0.2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  <c r="N524" s="271"/>
    </row>
    <row r="525" spans="1:14" s="3" customFormat="1" ht="12" customHeight="1" x14ac:dyDescent="0.15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>
        <v>195137.84</v>
      </c>
      <c r="G525" s="18">
        <v>80271.47</v>
      </c>
      <c r="H525" s="18">
        <v>297474.69</v>
      </c>
      <c r="I525" s="18">
        <v>6175.59</v>
      </c>
      <c r="J525" s="18"/>
      <c r="K525" s="18"/>
      <c r="L525" s="88">
        <f>SUM(F525:K525)</f>
        <v>579059.59</v>
      </c>
      <c r="M525" s="8"/>
      <c r="N525" s="272"/>
    </row>
    <row r="526" spans="1:14" s="3" customFormat="1" ht="12" customHeight="1" x14ac:dyDescent="0.15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thickBot="1" x14ac:dyDescent="0.2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v>45173.47</v>
      </c>
      <c r="I527" s="18"/>
      <c r="J527" s="18"/>
      <c r="K527" s="18"/>
      <c r="L527" s="88">
        <f>SUM(F527:K527)</f>
        <v>45173.47</v>
      </c>
      <c r="M527" s="8"/>
      <c r="N527" s="272"/>
    </row>
    <row r="528" spans="1:14" s="3" customFormat="1" ht="12" customHeight="1" thickTop="1" x14ac:dyDescent="0.15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195137.84</v>
      </c>
      <c r="G528" s="89">
        <f t="shared" ref="G528:L528" si="37">SUM(G525:G527)</f>
        <v>80271.47</v>
      </c>
      <c r="H528" s="89">
        <f t="shared" si="37"/>
        <v>342648.16000000003</v>
      </c>
      <c r="I528" s="89">
        <f t="shared" si="37"/>
        <v>6175.59</v>
      </c>
      <c r="J528" s="89">
        <f t="shared" si="37"/>
        <v>0</v>
      </c>
      <c r="K528" s="89">
        <f t="shared" si="37"/>
        <v>0</v>
      </c>
      <c r="L528" s="89">
        <f t="shared" si="37"/>
        <v>624233.05999999994</v>
      </c>
      <c r="M528" s="8"/>
      <c r="N528" s="272"/>
    </row>
    <row r="529" spans="1:14" s="3" customFormat="1" ht="12" customHeight="1" x14ac:dyDescent="0.15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  <c r="N529" s="272"/>
    </row>
    <row r="530" spans="1:14" s="3" customFormat="1" ht="12" customHeight="1" x14ac:dyDescent="0.15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>
        <v>107664.68</v>
      </c>
      <c r="G530" s="18">
        <v>56817.55</v>
      </c>
      <c r="H530" s="18">
        <v>1819.03</v>
      </c>
      <c r="I530" s="18"/>
      <c r="J530" s="18"/>
      <c r="K530" s="18">
        <v>476</v>
      </c>
      <c r="L530" s="88">
        <f>SUM(F530:K530)</f>
        <v>166777.25999999998</v>
      </c>
      <c r="M530" s="8"/>
      <c r="N530" s="272"/>
    </row>
    <row r="531" spans="1:14" s="3" customFormat="1" ht="12" customHeight="1" x14ac:dyDescent="0.15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thickBot="1" x14ac:dyDescent="0.2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Top="1" x14ac:dyDescent="0.15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107664.68</v>
      </c>
      <c r="G533" s="89">
        <f t="shared" ref="G533:L533" si="38">SUM(G530:G532)</f>
        <v>56817.55</v>
      </c>
      <c r="H533" s="89">
        <f t="shared" si="38"/>
        <v>1819.03</v>
      </c>
      <c r="I533" s="89">
        <f t="shared" si="38"/>
        <v>0</v>
      </c>
      <c r="J533" s="89">
        <f t="shared" si="38"/>
        <v>0</v>
      </c>
      <c r="K533" s="89">
        <f t="shared" si="38"/>
        <v>476</v>
      </c>
      <c r="L533" s="89">
        <f t="shared" si="38"/>
        <v>166777.25999999998</v>
      </c>
      <c r="M533" s="8"/>
      <c r="N533" s="272"/>
    </row>
    <row r="534" spans="1:14" s="3" customFormat="1" ht="12" customHeight="1" x14ac:dyDescent="0.15">
      <c r="A534" s="97" t="s">
        <v>68</v>
      </c>
      <c r="B534" s="105"/>
      <c r="C534" s="105"/>
      <c r="D534" s="105"/>
      <c r="E534" s="105"/>
      <c r="F534" s="194" t="s">
        <v>289</v>
      </c>
      <c r="G534" s="194" t="s">
        <v>289</v>
      </c>
      <c r="H534" s="194" t="s">
        <v>289</v>
      </c>
      <c r="I534" s="194" t="s">
        <v>289</v>
      </c>
      <c r="J534" s="194" t="s">
        <v>289</v>
      </c>
      <c r="K534" s="194" t="s">
        <v>289</v>
      </c>
      <c r="L534" s="194" t="s">
        <v>289</v>
      </c>
      <c r="M534" s="8"/>
      <c r="N534" s="272"/>
    </row>
    <row r="535" spans="1:14" s="3" customFormat="1" ht="12" customHeight="1" x14ac:dyDescent="0.15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  <c r="N535" s="272"/>
    </row>
    <row r="536" spans="1:14" s="3" customFormat="1" ht="12" customHeight="1" x14ac:dyDescent="0.15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thickBot="1" x14ac:dyDescent="0.2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Top="1" x14ac:dyDescent="0.15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  <c r="N538" s="272"/>
    </row>
    <row r="539" spans="1:14" s="3" customFormat="1" ht="12" customHeight="1" x14ac:dyDescent="0.15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  <c r="N539" s="272"/>
    </row>
    <row r="540" spans="1:14" s="3" customFormat="1" ht="12" customHeight="1" x14ac:dyDescent="0.15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v>98585.48</v>
      </c>
      <c r="I540" s="18"/>
      <c r="J540" s="18"/>
      <c r="K540" s="18"/>
      <c r="L540" s="88">
        <f>SUM(F540:K540)</f>
        <v>98585.48</v>
      </c>
      <c r="M540" s="8"/>
      <c r="N540" s="272"/>
    </row>
    <row r="541" spans="1:14" s="3" customFormat="1" ht="12" customHeight="1" x14ac:dyDescent="0.15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thickBot="1" x14ac:dyDescent="0.2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>
        <v>47000.06</v>
      </c>
      <c r="I542" s="18"/>
      <c r="J542" s="18"/>
      <c r="K542" s="18"/>
      <c r="L542" s="88">
        <f>SUM(F542:K542)</f>
        <v>47000.06</v>
      </c>
      <c r="M542" s="8"/>
      <c r="N542" s="272"/>
    </row>
    <row r="543" spans="1:14" s="3" customFormat="1" ht="12" customHeight="1" thickTop="1" thickBot="1" x14ac:dyDescent="0.2">
      <c r="A543" s="130" t="s">
        <v>71</v>
      </c>
      <c r="B543" s="191">
        <v>21</v>
      </c>
      <c r="C543" s="191">
        <v>20</v>
      </c>
      <c r="D543" s="192" t="s">
        <v>433</v>
      </c>
      <c r="E543" s="191"/>
      <c r="F543" s="193">
        <f>SUM(F540:F542)</f>
        <v>0</v>
      </c>
      <c r="G543" s="193">
        <f t="shared" ref="G543:L543" si="40">SUM(G540:G542)</f>
        <v>0</v>
      </c>
      <c r="H543" s="193">
        <f t="shared" si="40"/>
        <v>145585.53999999998</v>
      </c>
      <c r="I543" s="193">
        <f t="shared" si="40"/>
        <v>0</v>
      </c>
      <c r="J543" s="193">
        <f t="shared" si="40"/>
        <v>0</v>
      </c>
      <c r="K543" s="193">
        <f t="shared" si="40"/>
        <v>0</v>
      </c>
      <c r="L543" s="193">
        <f t="shared" si="40"/>
        <v>145585.53999999998</v>
      </c>
      <c r="M543" s="8"/>
      <c r="N543" s="272"/>
    </row>
    <row r="544" spans="1:14" s="3" customFormat="1" ht="12" customHeight="1" thickTop="1" x14ac:dyDescent="0.15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945381.58999999985</v>
      </c>
      <c r="G544" s="89">
        <f t="shared" ref="G544:L544" si="41">G523+G528+G533+G538+G543</f>
        <v>330198.37999999995</v>
      </c>
      <c r="H544" s="89">
        <f t="shared" si="41"/>
        <v>1484829.4400000002</v>
      </c>
      <c r="I544" s="89">
        <f t="shared" si="41"/>
        <v>7878.66</v>
      </c>
      <c r="J544" s="89">
        <f t="shared" si="41"/>
        <v>1820.61</v>
      </c>
      <c r="K544" s="89">
        <f t="shared" si="41"/>
        <v>476</v>
      </c>
      <c r="L544" s="89">
        <f t="shared" si="41"/>
        <v>2770584.6799999997</v>
      </c>
      <c r="M544" s="8"/>
      <c r="N544" s="272"/>
    </row>
    <row r="545" spans="1:14" s="3" customFormat="1" ht="12" customHeight="1" x14ac:dyDescent="0.15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  <c r="N545" s="272"/>
    </row>
    <row r="546" spans="1:14" s="3" customFormat="1" ht="12" customHeight="1" x14ac:dyDescent="0.15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  <c r="N546" s="272"/>
    </row>
    <row r="547" spans="1:14" s="3" customFormat="1" ht="12" customHeight="1" x14ac:dyDescent="0.15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  <c r="N547" s="272"/>
    </row>
    <row r="548" spans="1:14" s="3" customFormat="1" ht="12" customHeight="1" x14ac:dyDescent="0.15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866778.66999999993</v>
      </c>
      <c r="G548" s="87">
        <f>L525</f>
        <v>579059.59</v>
      </c>
      <c r="H548" s="87">
        <f>L530</f>
        <v>166777.25999999998</v>
      </c>
      <c r="I548" s="87">
        <f>L535</f>
        <v>0</v>
      </c>
      <c r="J548" s="87">
        <f>L540</f>
        <v>98585.48</v>
      </c>
      <c r="K548" s="87">
        <f>SUM(F548:J548)</f>
        <v>1711200.9999999998</v>
      </c>
      <c r="L548" s="24" t="s">
        <v>289</v>
      </c>
      <c r="M548" s="8"/>
      <c r="N548" s="272"/>
    </row>
    <row r="549" spans="1:14" s="3" customFormat="1" ht="12" customHeight="1" x14ac:dyDescent="0.15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thickBot="1" x14ac:dyDescent="0.2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967210.15</v>
      </c>
      <c r="G550" s="87">
        <f>L527</f>
        <v>45173.47</v>
      </c>
      <c r="H550" s="87">
        <f>L532</f>
        <v>0</v>
      </c>
      <c r="I550" s="87">
        <f>L537</f>
        <v>0</v>
      </c>
      <c r="J550" s="87">
        <f>L542</f>
        <v>47000.06</v>
      </c>
      <c r="K550" s="87">
        <f>SUM(F550:J550)</f>
        <v>1059383.68</v>
      </c>
      <c r="L550" s="24" t="s">
        <v>289</v>
      </c>
      <c r="M550" s="8"/>
      <c r="N550" s="272"/>
    </row>
    <row r="551" spans="1:14" s="3" customFormat="1" ht="12" customHeight="1" thickTop="1" x14ac:dyDescent="0.15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1833988.8199999998</v>
      </c>
      <c r="G551" s="89">
        <f t="shared" si="42"/>
        <v>624233.05999999994</v>
      </c>
      <c r="H551" s="89">
        <f t="shared" si="42"/>
        <v>166777.25999999998</v>
      </c>
      <c r="I551" s="89">
        <f t="shared" si="42"/>
        <v>0</v>
      </c>
      <c r="J551" s="89">
        <f t="shared" si="42"/>
        <v>145585.53999999998</v>
      </c>
      <c r="K551" s="89">
        <f t="shared" si="42"/>
        <v>2770584.6799999997</v>
      </c>
      <c r="L551" s="24"/>
      <c r="M551" s="8"/>
      <c r="N551" s="272"/>
    </row>
    <row r="552" spans="1:14" s="3" customFormat="1" ht="12" customHeight="1" x14ac:dyDescent="0.15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  <c r="N552" s="272"/>
    </row>
    <row r="553" spans="1:14" s="3" customFormat="1" ht="12" customHeight="1" x14ac:dyDescent="0.15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  <c r="N553" s="272"/>
    </row>
    <row r="554" spans="1:14" s="3" customFormat="1" ht="12" customHeight="1" x14ac:dyDescent="0.15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  <c r="N554" s="272"/>
    </row>
    <row r="555" spans="1:14" s="3" customFormat="1" ht="12" customHeight="1" x14ac:dyDescent="0.15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  <c r="N555" s="272"/>
    </row>
    <row r="556" spans="1:14" s="3" customFormat="1" ht="12" customHeight="1" x14ac:dyDescent="0.15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  <c r="N556" s="272"/>
    </row>
    <row r="557" spans="1:14" s="3" customFormat="1" ht="12" customHeight="1" x14ac:dyDescent="0.15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thickBot="1" x14ac:dyDescent="0.2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Top="1" x14ac:dyDescent="0.15">
      <c r="A559" s="139" t="s">
        <v>63</v>
      </c>
      <c r="B559" s="107">
        <v>22</v>
      </c>
      <c r="C559" s="195">
        <v>4</v>
      </c>
      <c r="D559" s="196" t="s">
        <v>433</v>
      </c>
      <c r="E559" s="195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  <c r="N559" s="272"/>
    </row>
    <row r="560" spans="1:14" s="3" customFormat="1" ht="12" customHeight="1" x14ac:dyDescent="0.15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  <c r="N560" s="272"/>
    </row>
    <row r="561" spans="1:14" s="3" customFormat="1" ht="12" customHeight="1" x14ac:dyDescent="0.15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  <c r="N561" s="272"/>
    </row>
    <row r="562" spans="1:14" s="3" customFormat="1" ht="12" customHeight="1" x14ac:dyDescent="0.15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thickBot="1" x14ac:dyDescent="0.2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Top="1" x14ac:dyDescent="0.15">
      <c r="A564" s="139" t="s">
        <v>65</v>
      </c>
      <c r="B564" s="107">
        <v>22</v>
      </c>
      <c r="C564" s="107">
        <v>8</v>
      </c>
      <c r="D564" s="196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  <c r="N564" s="272"/>
    </row>
    <row r="565" spans="1:14" s="3" customFormat="1" ht="12" customHeight="1" x14ac:dyDescent="0.15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  <c r="N565" s="272"/>
    </row>
    <row r="566" spans="1:14" s="3" customFormat="1" ht="12" customHeight="1" x14ac:dyDescent="0.15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  <c r="N566" s="272"/>
    </row>
    <row r="567" spans="1:14" s="3" customFormat="1" ht="12" customHeight="1" x14ac:dyDescent="0.15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thickBot="1" x14ac:dyDescent="0.2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Top="1" thickBot="1" x14ac:dyDescent="0.2">
      <c r="A569" s="130" t="s">
        <v>67</v>
      </c>
      <c r="B569" s="191">
        <v>22</v>
      </c>
      <c r="C569" s="191">
        <v>12</v>
      </c>
      <c r="D569" s="197" t="s">
        <v>433</v>
      </c>
      <c r="E569" s="191"/>
      <c r="F569" s="193">
        <f>SUM(F566:F568)</f>
        <v>0</v>
      </c>
      <c r="G569" s="193">
        <f t="shared" ref="G569:L569" si="45">SUM(G566:G568)</f>
        <v>0</v>
      </c>
      <c r="H569" s="193">
        <f t="shared" si="45"/>
        <v>0</v>
      </c>
      <c r="I569" s="193">
        <f t="shared" si="45"/>
        <v>0</v>
      </c>
      <c r="J569" s="193">
        <f t="shared" si="45"/>
        <v>0</v>
      </c>
      <c r="K569" s="193">
        <f t="shared" si="45"/>
        <v>0</v>
      </c>
      <c r="L569" s="193">
        <f t="shared" si="45"/>
        <v>0</v>
      </c>
      <c r="M569" s="8"/>
      <c r="N569" s="272"/>
    </row>
    <row r="570" spans="1:14" s="3" customFormat="1" ht="12" customHeight="1" thickTop="1" x14ac:dyDescent="0.15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  <c r="N570" s="272"/>
    </row>
    <row r="571" spans="1:14" s="3" customFormat="1" ht="12" customHeight="1" x14ac:dyDescent="0.15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  <c r="N571" s="272"/>
    </row>
    <row r="572" spans="1:14" s="3" customFormat="1" ht="12" customHeight="1" x14ac:dyDescent="0.15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  <c r="N573" s="272"/>
    </row>
    <row r="574" spans="1:14" s="3" customFormat="1" ht="12" customHeight="1" x14ac:dyDescent="0.15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987450.16</v>
      </c>
      <c r="I574" s="87">
        <f>SUM(F574:H574)</f>
        <v>987450.16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>
        <v>1748905.6</v>
      </c>
      <c r="I576" s="87">
        <f t="shared" si="47"/>
        <v>1748905.6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>
        <v>525561.59</v>
      </c>
      <c r="I578" s="87">
        <f t="shared" si="47"/>
        <v>525561.59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>
        <v>317134.86</v>
      </c>
      <c r="I580" s="87">
        <f t="shared" si="47"/>
        <v>317134.86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27366.560000000001</v>
      </c>
      <c r="G581" s="18"/>
      <c r="H581" s="18">
        <v>124513.7</v>
      </c>
      <c r="I581" s="87">
        <f t="shared" si="47"/>
        <v>151880.26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  <c r="N587" s="272"/>
    </row>
    <row r="588" spans="1:14" s="3" customFormat="1" ht="12" customHeight="1" x14ac:dyDescent="0.15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  <c r="N589" s="272"/>
    </row>
    <row r="590" spans="1:14" s="3" customFormat="1" ht="12" customHeight="1" x14ac:dyDescent="0.15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v>263112.78000000003</v>
      </c>
      <c r="I590" s="18"/>
      <c r="J590" s="18">
        <v>135766.19</v>
      </c>
      <c r="K590" s="104">
        <f t="shared" ref="K590:K596" si="48">SUM(H590:J590)</f>
        <v>398878.97000000003</v>
      </c>
      <c r="L590" s="24" t="s">
        <v>289</v>
      </c>
      <c r="M590" s="8"/>
      <c r="N590" s="272"/>
    </row>
    <row r="591" spans="1:14" s="3" customFormat="1" ht="12" customHeight="1" x14ac:dyDescent="0.15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v>98585.48</v>
      </c>
      <c r="I591" s="18"/>
      <c r="J591" s="18">
        <v>47000.06</v>
      </c>
      <c r="K591" s="104">
        <f t="shared" si="48"/>
        <v>145585.53999999998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>
        <v>7478.88</v>
      </c>
      <c r="I593" s="18"/>
      <c r="J593" s="18"/>
      <c r="K593" s="104">
        <f t="shared" si="48"/>
        <v>7478.88</v>
      </c>
      <c r="L593" s="24" t="s">
        <v>289</v>
      </c>
      <c r="M593" s="8"/>
      <c r="N593" s="272"/>
    </row>
    <row r="594" spans="1:14" s="3" customFormat="1" ht="12" customHeight="1" x14ac:dyDescent="0.15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v>6003.3</v>
      </c>
      <c r="I594" s="18"/>
      <c r="J594" s="18"/>
      <c r="K594" s="104">
        <f t="shared" si="48"/>
        <v>6003.3</v>
      </c>
      <c r="L594" s="24" t="s">
        <v>289</v>
      </c>
      <c r="M594" s="8"/>
      <c r="N594" s="272"/>
    </row>
    <row r="595" spans="1:14" s="3" customFormat="1" ht="12" customHeight="1" x14ac:dyDescent="0.15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thickBot="1" x14ac:dyDescent="0.2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Top="1" x14ac:dyDescent="0.15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375180.44</v>
      </c>
      <c r="I597" s="108">
        <f>SUM(I590:I596)</f>
        <v>0</v>
      </c>
      <c r="J597" s="108">
        <f>SUM(J590:J596)</f>
        <v>182766.25</v>
      </c>
      <c r="K597" s="108">
        <f>SUM(K590:K596)</f>
        <v>557946.69000000006</v>
      </c>
      <c r="L597" s="24" t="s">
        <v>289</v>
      </c>
      <c r="M597" s="8"/>
      <c r="N597" s="272"/>
    </row>
    <row r="598" spans="1:14" s="3" customFormat="1" ht="12" customHeight="1" x14ac:dyDescent="0.15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  <c r="N598" s="272"/>
    </row>
    <row r="599" spans="1:14" s="3" customFormat="1" ht="12" customHeight="1" x14ac:dyDescent="0.15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  <c r="N600" s="272"/>
    </row>
    <row r="601" spans="1:14" s="3" customFormat="1" ht="12" customHeight="1" x14ac:dyDescent="0.15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  <c r="N601" s="272"/>
    </row>
    <row r="602" spans="1:14" s="3" customFormat="1" ht="12" customHeight="1" x14ac:dyDescent="0.15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thickBot="1" x14ac:dyDescent="0.2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108282.98</v>
      </c>
      <c r="I603" s="18"/>
      <c r="J603" s="18"/>
      <c r="K603" s="104">
        <f>SUM(H603:J603)</f>
        <v>108282.98</v>
      </c>
      <c r="L603" s="24" t="s">
        <v>289</v>
      </c>
      <c r="M603" s="8"/>
      <c r="N603" s="272"/>
    </row>
    <row r="604" spans="1:14" s="3" customFormat="1" ht="12" customHeight="1" thickTop="1" x14ac:dyDescent="0.15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108282.98</v>
      </c>
      <c r="I604" s="108">
        <f>SUM(I601:I603)</f>
        <v>0</v>
      </c>
      <c r="J604" s="108">
        <f>SUM(J601:J603)</f>
        <v>0</v>
      </c>
      <c r="K604" s="108">
        <f>SUM(K601:K603)</f>
        <v>108282.98</v>
      </c>
      <c r="L604" s="24" t="s">
        <v>289</v>
      </c>
      <c r="M604" s="8"/>
      <c r="N604" s="272"/>
    </row>
    <row r="605" spans="1:14" s="3" customFormat="1" ht="12" customHeight="1" x14ac:dyDescent="0.15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  <c r="N605" s="272"/>
    </row>
    <row r="606" spans="1:14" s="3" customFormat="1" ht="12" customHeight="1" x14ac:dyDescent="0.15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  <c r="N608" s="272"/>
    </row>
    <row r="609" spans="1:14" s="3" customFormat="1" ht="12" customHeight="1" x14ac:dyDescent="0.15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  <c r="N609" s="272"/>
    </row>
    <row r="610" spans="1:14" s="3" customFormat="1" ht="12" customHeight="1" x14ac:dyDescent="0.15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>
        <v>12548.29</v>
      </c>
      <c r="G610" s="18">
        <v>8829.07</v>
      </c>
      <c r="H610" s="18">
        <v>6257.24</v>
      </c>
      <c r="I610" s="18"/>
      <c r="J610" s="18"/>
      <c r="K610" s="18"/>
      <c r="L610" s="88">
        <f>SUM(F610:K610)</f>
        <v>27634.6</v>
      </c>
      <c r="M610" s="8"/>
      <c r="N610" s="272"/>
    </row>
    <row r="611" spans="1:14" s="3" customFormat="1" ht="12" customHeight="1" x14ac:dyDescent="0.15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thickBot="1" x14ac:dyDescent="0.2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Top="1" x14ac:dyDescent="0.15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12548.29</v>
      </c>
      <c r="G613" s="108">
        <f t="shared" si="49"/>
        <v>8829.07</v>
      </c>
      <c r="H613" s="108">
        <f t="shared" si="49"/>
        <v>6257.24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27634.6</v>
      </c>
      <c r="M613" s="8"/>
      <c r="N613" s="272"/>
    </row>
    <row r="614" spans="1:14" s="3" customFormat="1" ht="12" customHeight="1" x14ac:dyDescent="0.15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4" s="3" customFormat="1" ht="12" customHeight="1" x14ac:dyDescent="0.15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4" s="3" customFormat="1" ht="12" customHeight="1" x14ac:dyDescent="0.15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638803.74999999988</v>
      </c>
      <c r="H616" s="109">
        <f>SUM(F51)</f>
        <v>638803.75</v>
      </c>
      <c r="I616" s="121" t="s">
        <v>890</v>
      </c>
      <c r="J616" s="109">
        <f>G616-H616</f>
        <v>0</v>
      </c>
      <c r="K616" s="109"/>
      <c r="L616" s="109"/>
      <c r="M616" s="8"/>
    </row>
    <row r="617" spans="1:14" s="3" customFormat="1" ht="12" customHeight="1" x14ac:dyDescent="0.15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64430.829999999994</v>
      </c>
      <c r="H617" s="109">
        <f>SUM(G51)</f>
        <v>64430.83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/>
      <c r="B618" s="105"/>
      <c r="C618" s="105"/>
      <c r="D618" s="105"/>
      <c r="E618" s="105"/>
      <c r="F618" s="121" t="s">
        <v>689</v>
      </c>
      <c r="G618" s="109">
        <f>SUM(H19)</f>
        <v>69465.990000000005</v>
      </c>
      <c r="H618" s="109">
        <f>SUM(H51)</f>
        <v>69465.989999999991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691</v>
      </c>
      <c r="G620" s="109">
        <f>SUM(J19)</f>
        <v>411293.35</v>
      </c>
      <c r="H620" s="109">
        <f>SUM(J51)</f>
        <v>411293.35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885</v>
      </c>
      <c r="G621" s="109">
        <f>F50</f>
        <v>309402.76</v>
      </c>
      <c r="H621" s="109">
        <f>F475</f>
        <v>309402.75999999978</v>
      </c>
      <c r="I621" s="121" t="s">
        <v>101</v>
      </c>
      <c r="J621" s="109">
        <f t="shared" ref="J621:J654" si="50"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19"/>
      <c r="D622" s="119"/>
      <c r="E622" s="119"/>
      <c r="F622" s="119" t="s">
        <v>886</v>
      </c>
      <c r="G622" s="109">
        <f>G50</f>
        <v>57755.91</v>
      </c>
      <c r="H622" s="109">
        <f>G475</f>
        <v>57755.91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05"/>
      <c r="D623" s="105"/>
      <c r="E623" s="105"/>
      <c r="F623" s="120" t="s">
        <v>887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888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889</v>
      </c>
      <c r="G625" s="109">
        <f>J50</f>
        <v>411293.35</v>
      </c>
      <c r="H625" s="109">
        <f>J475</f>
        <v>411293.35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662</v>
      </c>
      <c r="G626" s="109">
        <f>F192</f>
        <v>10660872.639999999</v>
      </c>
      <c r="H626" s="104">
        <f>SUM(F467)</f>
        <v>10660872.640000001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663</v>
      </c>
      <c r="G627" s="109">
        <f>G192</f>
        <v>208175.75</v>
      </c>
      <c r="H627" s="104">
        <f>SUM(G467)</f>
        <v>208175.75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664</v>
      </c>
      <c r="G628" s="109">
        <f>H192</f>
        <v>266809.89</v>
      </c>
      <c r="H628" s="104">
        <f>SUM(H467)</f>
        <v>266809.89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666</v>
      </c>
      <c r="G630" s="109">
        <f>J192</f>
        <v>101286.94</v>
      </c>
      <c r="H630" s="104">
        <f>SUM(J467)</f>
        <v>101286.94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395</v>
      </c>
      <c r="G631" s="109">
        <f>SUM(L270)</f>
        <v>10827747.580000002</v>
      </c>
      <c r="H631" s="104">
        <f>SUM(F471)</f>
        <v>10827747.58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396</v>
      </c>
      <c r="G632" s="109">
        <f>SUM(L351)</f>
        <v>266809.88999999996</v>
      </c>
      <c r="H632" s="104">
        <f>SUM(H471)</f>
        <v>266809.89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42" t="s">
        <v>247</v>
      </c>
      <c r="G633" s="109">
        <f>I361</f>
        <v>96872</v>
      </c>
      <c r="H633" s="104">
        <f>I368</f>
        <v>96872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 x14ac:dyDescent="0.15">
      <c r="A634" s="22"/>
      <c r="B634" s="105"/>
      <c r="C634" s="105"/>
      <c r="D634" s="105"/>
      <c r="E634" s="105"/>
      <c r="F634" s="120" t="s">
        <v>113</v>
      </c>
      <c r="G634" s="109">
        <f>SUM(L361)</f>
        <v>192811.77</v>
      </c>
      <c r="H634" s="104">
        <f>SUM(G471)</f>
        <v>192811.77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 x14ac:dyDescent="0.15">
      <c r="A636" s="161"/>
      <c r="B636" s="162"/>
      <c r="C636" s="162"/>
      <c r="D636" s="162"/>
      <c r="E636" s="162"/>
      <c r="F636" s="163" t="s">
        <v>478</v>
      </c>
      <c r="G636" s="151">
        <f>SUM(L407)</f>
        <v>101286.94</v>
      </c>
      <c r="H636" s="164">
        <f>SUM(J467)</f>
        <v>101286.94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118</v>
      </c>
      <c r="G638" s="109">
        <f>SUM(F445)</f>
        <v>132711.99</v>
      </c>
      <c r="H638" s="104">
        <f>SUM(F460)</f>
        <v>132711.99</v>
      </c>
      <c r="I638" s="140" t="s">
        <v>857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119</v>
      </c>
      <c r="G639" s="109">
        <f>SUM(G445)</f>
        <v>278581.36</v>
      </c>
      <c r="H639" s="104">
        <f>SUM(G460)</f>
        <v>278581.36</v>
      </c>
      <c r="I639" s="140" t="s">
        <v>858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859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121</v>
      </c>
      <c r="G641" s="109">
        <f>SUM(I445)</f>
        <v>411293.35</v>
      </c>
      <c r="H641" s="104">
        <f>SUM(I460)</f>
        <v>411293.35</v>
      </c>
      <c r="I641" s="140" t="s">
        <v>860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667</v>
      </c>
      <c r="G643" s="109">
        <f>J95</f>
        <v>1286.94</v>
      </c>
      <c r="H643" s="104">
        <f>H407</f>
        <v>1286.94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668</v>
      </c>
      <c r="G644" s="109">
        <f>J182</f>
        <v>100000</v>
      </c>
      <c r="H644" s="104">
        <f>G407</f>
        <v>100000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666</v>
      </c>
      <c r="G645" s="109">
        <f>J192</f>
        <v>101286.94</v>
      </c>
      <c r="H645" s="104">
        <f>L407</f>
        <v>101286.94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51</v>
      </c>
      <c r="G646" s="109">
        <f>K597</f>
        <v>557946.69000000006</v>
      </c>
      <c r="H646" s="104">
        <f>L207+L225+L243</f>
        <v>557946.68999999994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52</v>
      </c>
      <c r="G647" s="109">
        <f>K604</f>
        <v>108282.98</v>
      </c>
      <c r="H647" s="104">
        <f>(J256+J337)-(J254+J335)</f>
        <v>108282.98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388</v>
      </c>
      <c r="G648" s="109">
        <f>L207</f>
        <v>375180.44</v>
      </c>
      <c r="H648" s="104">
        <f>H597</f>
        <v>375180.44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394</v>
      </c>
      <c r="G650" s="109">
        <f>L243</f>
        <v>182766.25</v>
      </c>
      <c r="H650" s="104">
        <f>J597</f>
        <v>182766.25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669</v>
      </c>
      <c r="G651" s="109">
        <f>G178</f>
        <v>0</v>
      </c>
      <c r="H651" s="104">
        <f>K262+K344</f>
        <v>0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672</v>
      </c>
      <c r="G654" s="109">
        <f>J178+J180</f>
        <v>100000</v>
      </c>
      <c r="H654" s="104">
        <f>K265+K346</f>
        <v>100000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 x14ac:dyDescent="0.15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 x14ac:dyDescent="0.15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 x14ac:dyDescent="0.15">
      <c r="A659" s="1" t="s">
        <v>126</v>
      </c>
      <c r="F659" s="19">
        <f>(L210+L289+L357)</f>
        <v>7227288.6100000003</v>
      </c>
      <c r="G659" s="19">
        <f>(L228+L308+L358)</f>
        <v>0</v>
      </c>
      <c r="H659" s="19">
        <f>(L246+L327+L359)</f>
        <v>3931505.63</v>
      </c>
      <c r="I659" s="19">
        <f>SUM(F659:H659)</f>
        <v>11158794.24</v>
      </c>
      <c r="J659" s="13"/>
      <c r="K659" s="13"/>
      <c r="L659" s="13"/>
      <c r="M659" s="9"/>
    </row>
    <row r="660" spans="1:13" s="3" customFormat="1" ht="12" customHeight="1" x14ac:dyDescent="0.2">
      <c r="A660" s="1" t="s">
        <v>127</v>
      </c>
      <c r="F660" s="19">
        <f>(L357/IF(SUM(L357:L359)=0,1,SUM(L357:L359))*(SUM(G96:G109)))</f>
        <v>142618.28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142618.28</v>
      </c>
      <c r="J660"/>
      <c r="K660" s="13"/>
      <c r="L660" s="13"/>
      <c r="M660" s="9"/>
    </row>
    <row r="661" spans="1:13" s="3" customFormat="1" ht="12" customHeight="1" x14ac:dyDescent="0.2">
      <c r="A661" s="1" t="s">
        <v>128</v>
      </c>
      <c r="F661" s="19">
        <f>(L207+L286)-(J207+J286)</f>
        <v>375180.44</v>
      </c>
      <c r="G661" s="19">
        <f>(L225+L305)-(J225+J305)</f>
        <v>0</v>
      </c>
      <c r="H661" s="19">
        <f>(L243+L324)-(J243+J324)</f>
        <v>182766.25</v>
      </c>
      <c r="I661" s="19">
        <f>SUM(F661:H661)</f>
        <v>557946.68999999994</v>
      </c>
      <c r="J661"/>
      <c r="K661" s="13"/>
      <c r="L661" s="13"/>
      <c r="M661" s="8"/>
    </row>
    <row r="662" spans="1:13" s="3" customFormat="1" ht="12" customHeight="1" x14ac:dyDescent="0.15">
      <c r="A662" s="198" t="s">
        <v>129</v>
      </c>
      <c r="B662" s="169"/>
      <c r="C662" s="169"/>
      <c r="D662" s="169"/>
      <c r="E662" s="169"/>
      <c r="F662" s="199">
        <f>SUM(F574:F586)+SUM(H601:H603)+SUM(L610)</f>
        <v>163284.14000000001</v>
      </c>
      <c r="G662" s="199">
        <f>SUM(G574:G586)+SUM(I601:I603)+L611</f>
        <v>0</v>
      </c>
      <c r="H662" s="199">
        <f>SUM(H574:H586)+SUM(J601:J603)+L612</f>
        <v>3703565.91</v>
      </c>
      <c r="I662" s="19">
        <f>SUM(F662:H662)</f>
        <v>3866850.0500000003</v>
      </c>
      <c r="J662" s="13"/>
      <c r="K662" s="13"/>
      <c r="L662" s="13"/>
      <c r="M662" s="9"/>
    </row>
    <row r="663" spans="1:13" s="3" customFormat="1" ht="12" customHeight="1" x14ac:dyDescent="0.15">
      <c r="A663" s="1" t="s">
        <v>130</v>
      </c>
      <c r="F663" s="19">
        <f>F659-SUM(F660:F662)</f>
        <v>6546205.75</v>
      </c>
      <c r="G663" s="19">
        <f>G659-SUM(G660:G662)</f>
        <v>0</v>
      </c>
      <c r="H663" s="19">
        <f>H659-SUM(H660:H662)</f>
        <v>45173.469999999739</v>
      </c>
      <c r="I663" s="19">
        <f>I659-SUM(I660:I662)</f>
        <v>6591379.2199999997</v>
      </c>
      <c r="J663" s="13"/>
      <c r="K663" s="13"/>
      <c r="L663" s="13"/>
      <c r="M663" s="9"/>
    </row>
    <row r="664" spans="1:13" s="3" customFormat="1" ht="12" customHeight="1" x14ac:dyDescent="0.2">
      <c r="A664" s="1" t="s">
        <v>131</v>
      </c>
      <c r="F664" s="247">
        <v>592.17999999999995</v>
      </c>
      <c r="G664" s="248"/>
      <c r="H664" s="248"/>
      <c r="I664" s="19">
        <f>SUM(F664:H664)</f>
        <v>592.17999999999995</v>
      </c>
      <c r="J664" s="13"/>
      <c r="K664" s="13"/>
      <c r="L664" s="13"/>
      <c r="M664" s="8"/>
    </row>
    <row r="665" spans="1:13" s="3" customFormat="1" ht="12" customHeight="1" x14ac:dyDescent="0.15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 x14ac:dyDescent="0.15">
      <c r="A666" s="29" t="s">
        <v>133</v>
      </c>
      <c r="F666" s="19">
        <f>ROUND(F663/F664,2)</f>
        <v>11054.42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11130.7</v>
      </c>
      <c r="J666" s="13"/>
      <c r="K666" s="13"/>
      <c r="L666" s="13"/>
      <c r="M666" s="9"/>
    </row>
    <row r="667" spans="1:13" s="3" customFormat="1" ht="12" customHeight="1" x14ac:dyDescent="0.15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 x14ac:dyDescent="0.15">
      <c r="A668" s="1" t="s">
        <v>134</v>
      </c>
      <c r="F668" s="18"/>
      <c r="G668" s="18"/>
      <c r="H668" s="18">
        <v>-45173.47</v>
      </c>
      <c r="I668" s="19">
        <f>SUM(F668:H668)</f>
        <v>-45173.47</v>
      </c>
      <c r="J668" s="13"/>
      <c r="K668" s="13"/>
      <c r="L668" s="13"/>
      <c r="M668" s="9"/>
    </row>
    <row r="669" spans="1:13" s="3" customFormat="1" ht="12" customHeight="1" x14ac:dyDescent="0.15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 x14ac:dyDescent="0.15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11054.42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11054.42</v>
      </c>
      <c r="J671" s="13"/>
      <c r="K671" s="13"/>
      <c r="L671" s="13"/>
    </row>
    <row r="672" spans="1:13" s="3" customFormat="1" ht="12" customHeight="1" x14ac:dyDescent="0.15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 x14ac:dyDescent="0.15">
      <c r="F673" s="13"/>
      <c r="G673" s="13"/>
      <c r="H673" s="13"/>
      <c r="I673" s="13"/>
      <c r="J673" s="13"/>
      <c r="K673" s="13"/>
      <c r="L673" s="13"/>
    </row>
    <row r="674" spans="1:12" ht="12" customHeight="1" x14ac:dyDescent="0.2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B0A" sheet="1" objects="1" scenarios="1"/>
  <dataConsolidate>
    <dataRefs count="18">
      <dataRef ref="F9:L671" sheet="DOE25" r:id="rId1"/>
      <dataRef ref="F9:L671" sheet="DOE25" r:id="rId2"/>
      <dataRef ref="F9:L671" sheet="DOE25" r:id="rId3"/>
      <dataRef ref="F9:L671" sheet="DOE25" r:id="rId4"/>
      <dataRef ref="F9:L671" sheet="DOE25" r:id="rId5"/>
      <dataRef ref="F9:L671" sheet="DOE25" r:id="rId6"/>
      <dataRef ref="F9:L671" sheet="DOE25" r:id="rId7"/>
      <dataRef ref="F9:L671" sheet="DOE25" r:id="rId8"/>
      <dataRef ref="F9:L671" sheet="DOE25" r:id="rId9"/>
      <dataRef ref="F9:L671" sheet="DOE25" r:id="rId10"/>
      <dataRef ref="F9:L671" sheet="DOE25" r:id="rId11"/>
      <dataRef ref="F9:L671" sheet="DOE25" r:id="rId12"/>
      <dataRef ref="F9:L671" sheet="DOE25" r:id="rId13"/>
      <dataRef ref="F9:L671" sheet="DOE25" r:id="rId14"/>
      <dataRef ref="F9:L671" sheet="DOE25" r:id="rId15"/>
      <dataRef ref="F9:L671" sheet="DOE25" r:id="rId16"/>
      <dataRef ref="F9:L671" sheet="DOE25" r:id="rId17"/>
      <dataRef ref="F9:L671" sheet="DOE25" r:id="rId18"/>
    </dataRefs>
  </dataConsolidate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9"/>
  <headerFooter alignWithMargins="0">
    <oddHeader xml:space="preserve">&amp;CDOE 25 for 2012-2013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3" max="11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2" sqref="C2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Auburn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2012-2013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'DOE25'!F196+'DOE25'!F214+'DOE25'!F232+'DOE25'!F275+'DOE25'!F294+'DOE25'!F313</f>
        <v>2092089.03</v>
      </c>
      <c r="C9" s="229">
        <f>'DOE25'!G196+'DOE25'!G214+'DOE25'!G232+'DOE25'!G275+'DOE25'!G294+'DOE25'!G313</f>
        <v>866953.66999999993</v>
      </c>
    </row>
    <row r="10" spans="1:3" x14ac:dyDescent="0.2">
      <c r="A10" t="s">
        <v>779</v>
      </c>
      <c r="B10" s="240">
        <v>1987084.47</v>
      </c>
      <c r="C10" s="240">
        <v>859111.03</v>
      </c>
    </row>
    <row r="11" spans="1:3" x14ac:dyDescent="0.2">
      <c r="A11" t="s">
        <v>780</v>
      </c>
      <c r="B11" s="240">
        <v>34235.82</v>
      </c>
      <c r="C11" s="240">
        <v>2672.42</v>
      </c>
    </row>
    <row r="12" spans="1:3" x14ac:dyDescent="0.2">
      <c r="A12" t="s">
        <v>781</v>
      </c>
      <c r="B12" s="240">
        <v>70768.740000000005</v>
      </c>
      <c r="C12" s="240">
        <v>5170.22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2092089.03</v>
      </c>
      <c r="C13" s="231">
        <f>SUM(C10:C12)</f>
        <v>866953.67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'DOE25'!F197+'DOE25'!F215+'DOE25'!F233+'DOE25'!F276+'DOE25'!F295+'DOE25'!F314</f>
        <v>750243.75</v>
      </c>
      <c r="C18" s="229">
        <f>'DOE25'!G197+'DOE25'!G215+'DOE25'!G233+'DOE25'!G276+'DOE25'!G295+'DOE25'!G314</f>
        <v>249926.91</v>
      </c>
    </row>
    <row r="19" spans="1:3" x14ac:dyDescent="0.2">
      <c r="A19" t="s">
        <v>779</v>
      </c>
      <c r="B19" s="240">
        <v>353684.33</v>
      </c>
      <c r="C19" s="240">
        <v>153206.88</v>
      </c>
    </row>
    <row r="20" spans="1:3" x14ac:dyDescent="0.2">
      <c r="A20" t="s">
        <v>780</v>
      </c>
      <c r="B20" s="240">
        <v>285887.75</v>
      </c>
      <c r="C20" s="240">
        <v>51113.3</v>
      </c>
    </row>
    <row r="21" spans="1:3" x14ac:dyDescent="0.2">
      <c r="A21" t="s">
        <v>781</v>
      </c>
      <c r="B21" s="240">
        <v>110671.67</v>
      </c>
      <c r="C21" s="240">
        <v>45606.73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750243.75000000012</v>
      </c>
      <c r="C22" s="231">
        <f>SUM(C19:C21)</f>
        <v>249926.91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'DOE25'!F198+'DOE25'!F216+'DOE25'!F234+'DOE25'!F277+'DOE25'!F296+'DOE25'!F315</f>
        <v>0</v>
      </c>
      <c r="C27" s="234">
        <f>'DOE25'!G198+'DOE25'!G216+'DOE25'!G234+'DOE25'!G277+'DOE25'!G296+'DOE25'!G315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'DOE25'!F199+'DOE25'!F217+'DOE25'!F235+'DOE25'!F278+'DOE25'!F297+'DOE25'!F316</f>
        <v>32514</v>
      </c>
      <c r="C36" s="235">
        <f>'DOE25'!G199+'DOE25'!G217+'DOE25'!G235+'DOE25'!G278+'DOE25'!G297+'DOE25'!G316</f>
        <v>4320.18</v>
      </c>
    </row>
    <row r="37" spans="1:3" x14ac:dyDescent="0.2">
      <c r="A37" t="s">
        <v>779</v>
      </c>
      <c r="B37" s="240">
        <v>20974</v>
      </c>
      <c r="C37" s="240">
        <v>3440.61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11540</v>
      </c>
      <c r="C39" s="240">
        <v>879.57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32514</v>
      </c>
      <c r="C40" s="231">
        <f>SUM(C37:C39)</f>
        <v>4320.18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B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Auburn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8067822.75</v>
      </c>
      <c r="D5" s="20">
        <f>SUM('DOE25'!L196:L199)+SUM('DOE25'!L214:L217)+SUM('DOE25'!L232:L235)-F5-G5</f>
        <v>8050194.4500000002</v>
      </c>
      <c r="E5" s="243"/>
      <c r="F5" s="255">
        <f>SUM('DOE25'!J196:J199)+SUM('DOE25'!J214:J217)+SUM('DOE25'!J232:J235)</f>
        <v>16602.3</v>
      </c>
      <c r="G5" s="53">
        <f>SUM('DOE25'!K196:K199)+SUM('DOE25'!K214:K217)+SUM('DOE25'!K232:K235)</f>
        <v>1026</v>
      </c>
      <c r="H5" s="259"/>
    </row>
    <row r="6" spans="1:9" x14ac:dyDescent="0.2">
      <c r="A6" s="32">
        <v>2100</v>
      </c>
      <c r="B6" t="s">
        <v>801</v>
      </c>
      <c r="C6" s="245">
        <f t="shared" si="0"/>
        <v>630877.87</v>
      </c>
      <c r="D6" s="20">
        <f>'DOE25'!L201+'DOE25'!L219+'DOE25'!L237-F6-G6</f>
        <v>627748.67000000004</v>
      </c>
      <c r="E6" s="243"/>
      <c r="F6" s="255">
        <f>'DOE25'!J201+'DOE25'!J219+'DOE25'!J237</f>
        <v>980</v>
      </c>
      <c r="G6" s="53">
        <f>'DOE25'!K201+'DOE25'!K219+'DOE25'!K237</f>
        <v>2149.1999999999998</v>
      </c>
      <c r="H6" s="259"/>
    </row>
    <row r="7" spans="1:9" x14ac:dyDescent="0.2">
      <c r="A7" s="32">
        <v>2200</v>
      </c>
      <c r="B7" t="s">
        <v>834</v>
      </c>
      <c r="C7" s="245">
        <f t="shared" si="0"/>
        <v>92731.030000000013</v>
      </c>
      <c r="D7" s="20">
        <f>'DOE25'!L202+'DOE25'!L220+'DOE25'!L238-F7-G7</f>
        <v>89055.540000000008</v>
      </c>
      <c r="E7" s="243"/>
      <c r="F7" s="255">
        <f>'DOE25'!J202+'DOE25'!J220+'DOE25'!J238</f>
        <v>3545.49</v>
      </c>
      <c r="G7" s="53">
        <f>'DOE25'!K202+'DOE25'!K220+'DOE25'!K238</f>
        <v>130</v>
      </c>
      <c r="H7" s="259"/>
    </row>
    <row r="8" spans="1:9" x14ac:dyDescent="0.2">
      <c r="A8" s="32">
        <v>2300</v>
      </c>
      <c r="B8" t="s">
        <v>802</v>
      </c>
      <c r="C8" s="245">
        <f t="shared" si="0"/>
        <v>179204.53</v>
      </c>
      <c r="D8" s="243"/>
      <c r="E8" s="20">
        <f>'DOE25'!L203+'DOE25'!L221+'DOE25'!L239-F8-G8-D9-D11</f>
        <v>174712.99</v>
      </c>
      <c r="F8" s="255">
        <f>'DOE25'!J203+'DOE25'!J221+'DOE25'!J239</f>
        <v>0</v>
      </c>
      <c r="G8" s="53">
        <f>'DOE25'!K203+'DOE25'!K221+'DOE25'!K239</f>
        <v>4491.54</v>
      </c>
      <c r="H8" s="259"/>
    </row>
    <row r="9" spans="1:9" x14ac:dyDescent="0.2">
      <c r="A9" s="32">
        <v>2310</v>
      </c>
      <c r="B9" t="s">
        <v>818</v>
      </c>
      <c r="C9" s="245">
        <f t="shared" si="0"/>
        <v>36525.629999999997</v>
      </c>
      <c r="D9" s="244">
        <v>36525.629999999997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7538</v>
      </c>
      <c r="D10" s="243"/>
      <c r="E10" s="244">
        <v>7538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43909.47</v>
      </c>
      <c r="D11" s="244">
        <v>43909.47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340717.37</v>
      </c>
      <c r="D12" s="20">
        <f>'DOE25'!L204+'DOE25'!L222+'DOE25'!L240-F12-G12</f>
        <v>339653.37</v>
      </c>
      <c r="E12" s="243"/>
      <c r="F12" s="255">
        <f>'DOE25'!J204+'DOE25'!J222+'DOE25'!J240</f>
        <v>0</v>
      </c>
      <c r="G12" s="53">
        <f>'DOE25'!K204+'DOE25'!K222+'DOE25'!K240</f>
        <v>1064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'DOE25'!L205+'DOE25'!L223+'DOE25'!L241-F13-G13</f>
        <v>0</v>
      </c>
      <c r="F13" s="255">
        <f>'DOE25'!J205+'DOE25'!J223+'DOE25'!J241</f>
        <v>0</v>
      </c>
      <c r="G13" s="53">
        <f>'DOE25'!K205+'DOE25'!K223+'DOE25'!K241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609368.43999999994</v>
      </c>
      <c r="D14" s="20">
        <f>'DOE25'!L206+'DOE25'!L224+'DOE25'!L242-F14-G14</f>
        <v>575535.43999999994</v>
      </c>
      <c r="E14" s="243"/>
      <c r="F14" s="255">
        <f>'DOE25'!J206+'DOE25'!J224+'DOE25'!J242</f>
        <v>33833</v>
      </c>
      <c r="G14" s="53">
        <f>'DOE25'!K206+'DOE25'!K224+'DOE25'!K242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557946.68999999994</v>
      </c>
      <c r="D15" s="20">
        <f>'DOE25'!L207+'DOE25'!L225+'DOE25'!L243-F15-G15</f>
        <v>557946.68999999994</v>
      </c>
      <c r="E15" s="243"/>
      <c r="F15" s="255">
        <f>'DOE25'!J207+'DOE25'!J225+'DOE25'!J243</f>
        <v>0</v>
      </c>
      <c r="G15" s="53">
        <f>'DOE25'!K207+'DOE25'!K225+'DOE25'!K243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140068.79999999999</v>
      </c>
      <c r="D16" s="243"/>
      <c r="E16" s="20">
        <f>'DOE25'!L208+'DOE25'!L226+'DOE25'!L244-F16-G16</f>
        <v>111381.46999999999</v>
      </c>
      <c r="F16" s="255">
        <f>'DOE25'!J208+'DOE25'!J226+'DOE25'!J244</f>
        <v>28473.33</v>
      </c>
      <c r="G16" s="53">
        <f>'DOE25'!K208+'DOE25'!K226+'DOE25'!K244</f>
        <v>214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'DOE25'!L250-F17-G17</f>
        <v>0</v>
      </c>
      <c r="E17" s="243"/>
      <c r="F17" s="255">
        <f>'DOE25'!J250</f>
        <v>0</v>
      </c>
      <c r="G17" s="53">
        <f>'DOE25'!K250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'DOE25'!L251-F18-G18</f>
        <v>0</v>
      </c>
      <c r="E18" s="243"/>
      <c r="F18" s="255">
        <f>'DOE25'!J251</f>
        <v>0</v>
      </c>
      <c r="G18" s="53">
        <f>'DOE25'!K251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'DOE25'!L252-F19-G19</f>
        <v>0</v>
      </c>
      <c r="E19" s="243"/>
      <c r="F19" s="255">
        <f>'DOE25'!J252</f>
        <v>0</v>
      </c>
      <c r="G19" s="53">
        <f>'DOE25'!K252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28575</v>
      </c>
      <c r="D22" s="243"/>
      <c r="E22" s="243"/>
      <c r="F22" s="255">
        <f>'DOE25'!L254+'DOE25'!L335</f>
        <v>28575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'DOE25'!L259+'DOE25'!L260+'DOE25'!L340+'DOE25'!L341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100983.05999999998</v>
      </c>
      <c r="D29" s="20">
        <f>'DOE25'!L357+'DOE25'!L358+'DOE25'!L359-'DOE25'!I366-F29-G29</f>
        <v>99351.059999999983</v>
      </c>
      <c r="E29" s="243"/>
      <c r="F29" s="255">
        <f>'DOE25'!J357+'DOE25'!J358+'DOE25'!J359</f>
        <v>1632</v>
      </c>
      <c r="G29" s="53">
        <f>'DOE25'!K357+'DOE25'!K358+'DOE25'!K359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266809.88999999996</v>
      </c>
      <c r="D31" s="20">
        <f>'DOE25'!L289+'DOE25'!L308+'DOE25'!L327+'DOE25'!L332+'DOE25'!L333+'DOE25'!L334-F31-G31</f>
        <v>237865.71999999997</v>
      </c>
      <c r="E31" s="243"/>
      <c r="F31" s="255">
        <f>'DOE25'!J289+'DOE25'!J308+'DOE25'!J327+'DOE25'!J332+'DOE25'!J333+'DOE25'!J334</f>
        <v>24848.86</v>
      </c>
      <c r="G31" s="53">
        <f>'DOE25'!K289+'DOE25'!K308+'DOE25'!K327+'DOE25'!K332+'DOE25'!K333+'DOE25'!K334</f>
        <v>4095.31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10657786.040000001</v>
      </c>
      <c r="E33" s="246">
        <f>SUM(E5:E31)</f>
        <v>293632.45999999996</v>
      </c>
      <c r="F33" s="246">
        <f>SUM(F5:F31)</f>
        <v>138489.97999999998</v>
      </c>
      <c r="G33" s="246">
        <f>SUM(G5:G31)</f>
        <v>13170.05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293632.45999999996</v>
      </c>
      <c r="E35" s="249"/>
    </row>
    <row r="36" spans="2:8" ht="12" thickTop="1" x14ac:dyDescent="0.2">
      <c r="B36" t="s">
        <v>815</v>
      </c>
      <c r="D36" s="20">
        <f>D33</f>
        <v>10657786.040000001</v>
      </c>
    </row>
    <row r="38" spans="2:8" x14ac:dyDescent="0.2">
      <c r="B38" s="187" t="s">
        <v>903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B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3" activePane="bottomLeft" state="frozen"/>
      <selection pane="bottomLeft" activeCell="G11" sqref="G11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Auburn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550250.93999999994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66285.929999999993</v>
      </c>
      <c r="D11" s="95">
        <f>'DOE25'!G12</f>
        <v>51270.81</v>
      </c>
      <c r="E11" s="95">
        <f>'DOE25'!H12</f>
        <v>0</v>
      </c>
      <c r="F11" s="95">
        <f>'DOE25'!I12</f>
        <v>0</v>
      </c>
      <c r="G11" s="95">
        <f>'DOE25'!J12</f>
        <v>411293.35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21531.18</v>
      </c>
      <c r="D12" s="95">
        <f>'DOE25'!G13</f>
        <v>10833.25</v>
      </c>
      <c r="E12" s="95">
        <f>'DOE25'!H13</f>
        <v>69465.990000000005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735.7</v>
      </c>
      <c r="D13" s="95">
        <f>'DOE25'!G14</f>
        <v>2326.77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638803.74999999988</v>
      </c>
      <c r="D18" s="41">
        <f>SUM(D8:D17)</f>
        <v>64430.829999999994</v>
      </c>
      <c r="E18" s="41">
        <f>SUM(E8:E17)</f>
        <v>69465.990000000005</v>
      </c>
      <c r="F18" s="41">
        <f>SUM(F8:F17)</f>
        <v>0</v>
      </c>
      <c r="G18" s="41">
        <f>SUM(G8:G17)</f>
        <v>411293.35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51270.81</v>
      </c>
      <c r="D21" s="95">
        <f>'DOE25'!G22</f>
        <v>0</v>
      </c>
      <c r="E21" s="95">
        <f>'DOE25'!H22</f>
        <v>66285.929999999993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252047.63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25544.04</v>
      </c>
      <c r="D27" s="95">
        <f>'DOE25'!G28</f>
        <v>1637.52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538.51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5037.3999999999996</v>
      </c>
      <c r="E29" s="95">
        <f>'DOE25'!H30</f>
        <v>3180.06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329400.99</v>
      </c>
      <c r="D31" s="41">
        <f>SUM(D21:D30)</f>
        <v>6674.92</v>
      </c>
      <c r="E31" s="41">
        <f>SUM(E21:E30)</f>
        <v>69465.989999999991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896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25000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29" t="s">
        <v>864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1" t="s">
        <v>881</v>
      </c>
      <c r="B46" s="6">
        <v>760</v>
      </c>
      <c r="C46" s="95">
        <f>'DOE25'!F47</f>
        <v>0</v>
      </c>
      <c r="D46" s="95">
        <f>'DOE25'!G47</f>
        <v>57755.91</v>
      </c>
      <c r="E46" s="95">
        <f>'DOE25'!H47</f>
        <v>0</v>
      </c>
      <c r="F46" s="95">
        <f>'DOE25'!I47</f>
        <v>0</v>
      </c>
      <c r="G46" s="95">
        <f>'DOE25'!J47</f>
        <v>411293.35</v>
      </c>
      <c r="H46" s="124"/>
      <c r="I46" s="124"/>
    </row>
    <row r="47" spans="1:9" x14ac:dyDescent="0.2">
      <c r="A47" s="1" t="s">
        <v>897</v>
      </c>
      <c r="B47" s="6">
        <v>753</v>
      </c>
      <c r="C47" s="95">
        <f>'DOE25'!F48</f>
        <v>27979.88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 x14ac:dyDescent="0.25">
      <c r="A48" s="29" t="s">
        <v>882</v>
      </c>
      <c r="B48" s="71">
        <v>770</v>
      </c>
      <c r="C48" s="95">
        <f>'DOE25'!F49</f>
        <v>256422.88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 x14ac:dyDescent="0.25">
      <c r="A49" s="38" t="s">
        <v>883</v>
      </c>
      <c r="B49" s="48"/>
      <c r="C49" s="41">
        <f>SUM(C34:C48)</f>
        <v>309402.76</v>
      </c>
      <c r="D49" s="41">
        <f>SUM(D34:D48)</f>
        <v>57755.91</v>
      </c>
      <c r="E49" s="41">
        <f>SUM(E34:E48)</f>
        <v>0</v>
      </c>
      <c r="F49" s="41">
        <f>SUM(F34:F48)</f>
        <v>0</v>
      </c>
      <c r="G49" s="41">
        <f>SUM(G34:G48)</f>
        <v>411293.35</v>
      </c>
      <c r="H49" s="124"/>
      <c r="I49" s="124"/>
    </row>
    <row r="50" spans="1:9" ht="12" thickTop="1" x14ac:dyDescent="0.2">
      <c r="A50" s="38" t="s">
        <v>884</v>
      </c>
      <c r="B50" s="2"/>
      <c r="C50" s="41">
        <f>C49+C31</f>
        <v>638803.75</v>
      </c>
      <c r="D50" s="41">
        <f>D49+D31</f>
        <v>64430.83</v>
      </c>
      <c r="E50" s="41">
        <f>E49+E31</f>
        <v>69465.989999999991</v>
      </c>
      <c r="F50" s="41">
        <f>F49+F31</f>
        <v>0</v>
      </c>
      <c r="G50" s="41">
        <f>G49+G31</f>
        <v>411293.35</v>
      </c>
      <c r="H50" s="124"/>
      <c r="I50" s="124"/>
    </row>
    <row r="51" spans="1:9" x14ac:dyDescent="0.2">
      <c r="H51" s="124"/>
      <c r="I51" s="124"/>
    </row>
    <row r="52" spans="1:9" x14ac:dyDescent="0.2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 x14ac:dyDescent="0.2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 x14ac:dyDescent="0.2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 x14ac:dyDescent="0.2">
      <c r="A55" s="1" t="s">
        <v>162</v>
      </c>
      <c r="B55" s="6" t="s">
        <v>163</v>
      </c>
      <c r="C55" s="95">
        <f>'DOE25'!F59</f>
        <v>7074980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 x14ac:dyDescent="0.2">
      <c r="A56" s="1" t="s">
        <v>164</v>
      </c>
      <c r="B56" s="6" t="s">
        <v>165</v>
      </c>
      <c r="C56" s="95">
        <f>'DOE25'!F78</f>
        <v>1369.5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 x14ac:dyDescent="0.2">
      <c r="A57" s="1" t="s">
        <v>166</v>
      </c>
      <c r="B57" s="6" t="s">
        <v>167</v>
      </c>
      <c r="C57" s="95">
        <f>'DOE25'!F93</f>
        <v>11176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 x14ac:dyDescent="0.2">
      <c r="A58" s="69" t="s">
        <v>168</v>
      </c>
      <c r="B58" s="37" t="s">
        <v>169</v>
      </c>
      <c r="C58" s="95">
        <f>'DOE25'!F95</f>
        <v>497.84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1286.94</v>
      </c>
      <c r="H58"/>
      <c r="I58"/>
    </row>
    <row r="59" spans="1:9" x14ac:dyDescent="0.2">
      <c r="A59" s="1" t="s">
        <v>170</v>
      </c>
      <c r="B59" s="118" t="s">
        <v>171</v>
      </c>
      <c r="C59" s="24" t="s">
        <v>289</v>
      </c>
      <c r="D59" s="95">
        <f>'DOE25'!G96</f>
        <v>142618.28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 x14ac:dyDescent="0.25">
      <c r="A60" s="1" t="s">
        <v>172</v>
      </c>
      <c r="B60" s="118" t="s">
        <v>173</v>
      </c>
      <c r="C60" s="95">
        <f>SUM('DOE25'!F97:F109)</f>
        <v>57729.25</v>
      </c>
      <c r="D60" s="95">
        <f>SUM('DOE25'!G97:G109)</f>
        <v>0</v>
      </c>
      <c r="E60" s="95">
        <f>SUM('DOE25'!H97:H109)</f>
        <v>33155.769999999997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 x14ac:dyDescent="0.25">
      <c r="A61" s="29" t="s">
        <v>174</v>
      </c>
      <c r="B61" s="6"/>
      <c r="C61" s="130">
        <f>SUM(C56:C60)</f>
        <v>70772.59</v>
      </c>
      <c r="D61" s="130">
        <f>SUM(D56:D60)</f>
        <v>142618.28</v>
      </c>
      <c r="E61" s="130">
        <f>SUM(E56:E60)</f>
        <v>33155.769999999997</v>
      </c>
      <c r="F61" s="130">
        <f>SUM(F56:F60)</f>
        <v>0</v>
      </c>
      <c r="G61" s="130">
        <f>SUM(G56:G60)</f>
        <v>1286.94</v>
      </c>
      <c r="H61"/>
      <c r="I61"/>
    </row>
    <row r="62" spans="1:9" ht="12" thickTop="1" x14ac:dyDescent="0.2">
      <c r="A62" s="29" t="s">
        <v>175</v>
      </c>
      <c r="B62" s="6"/>
      <c r="C62" s="22">
        <f>C55+C61</f>
        <v>7145752.5899999999</v>
      </c>
      <c r="D62" s="22">
        <f>D55+D61</f>
        <v>142618.28</v>
      </c>
      <c r="E62" s="22">
        <f>E55+E61</f>
        <v>33155.769999999997</v>
      </c>
      <c r="F62" s="22">
        <f>F55+F61</f>
        <v>0</v>
      </c>
      <c r="G62" s="22">
        <f>G55+G61</f>
        <v>1286.94</v>
      </c>
      <c r="H62"/>
      <c r="I62"/>
    </row>
    <row r="63" spans="1:9" x14ac:dyDescent="0.2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 x14ac:dyDescent="0.2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1" t="s">
        <v>850</v>
      </c>
      <c r="B65" s="6">
        <v>3111</v>
      </c>
      <c r="C65" s="95">
        <f>'DOE25'!F116</f>
        <v>1866979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774</v>
      </c>
      <c r="B66" s="6">
        <v>3112</v>
      </c>
      <c r="C66" s="95">
        <f>'DOE25'!F117</f>
        <v>1509655</v>
      </c>
      <c r="D66" s="24"/>
      <c r="E66" s="24"/>
      <c r="F66" s="24"/>
      <c r="G66" s="24"/>
      <c r="H66"/>
      <c r="I66"/>
    </row>
    <row r="67" spans="1:9" x14ac:dyDescent="0.2">
      <c r="A67" s="1" t="s">
        <v>908</v>
      </c>
      <c r="B67" s="6">
        <v>3119</v>
      </c>
      <c r="C67" s="24" t="str">
        <f>'DOE25'!F118</f>
        <v>............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 x14ac:dyDescent="0.25">
      <c r="A68" s="1" t="s">
        <v>251</v>
      </c>
      <c r="B68" s="6" t="s">
        <v>177</v>
      </c>
      <c r="C68" s="95">
        <f>'DOE25'!F119</f>
        <v>0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 x14ac:dyDescent="0.2">
      <c r="A69" s="29" t="s">
        <v>252</v>
      </c>
      <c r="B69" s="2"/>
      <c r="C69" s="139">
        <f>SUM(C65:C68)</f>
        <v>3376634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 x14ac:dyDescent="0.2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 x14ac:dyDescent="0.2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 x14ac:dyDescent="0.2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 x14ac:dyDescent="0.2">
      <c r="A74" s="1" t="s">
        <v>256</v>
      </c>
      <c r="B74" s="6">
        <v>3230</v>
      </c>
      <c r="C74" s="95">
        <f>'DOE25'!F125</f>
        <v>41431.129999999997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 x14ac:dyDescent="0.2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 x14ac:dyDescent="0.25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2752.62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 x14ac:dyDescent="0.25">
      <c r="A77" s="29" t="s">
        <v>259</v>
      </c>
      <c r="B77" s="6"/>
      <c r="C77" s="130">
        <f>SUM(C71:C76)</f>
        <v>41431.129999999997</v>
      </c>
      <c r="D77" s="130">
        <f>SUM(D71:D76)</f>
        <v>2752.62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 x14ac:dyDescent="0.2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 x14ac:dyDescent="0.25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 x14ac:dyDescent="0.25">
      <c r="A80" s="29" t="s">
        <v>748</v>
      </c>
      <c r="B80" s="2"/>
      <c r="C80" s="130">
        <f>SUM(C78:C79)+C77+C69</f>
        <v>3418065.13</v>
      </c>
      <c r="D80" s="130">
        <f>SUM(D78:D79)+D77+D69</f>
        <v>2752.62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 x14ac:dyDescent="0.2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 x14ac:dyDescent="0.2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 x14ac:dyDescent="0.2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t="s">
        <v>749</v>
      </c>
      <c r="B84" s="32" t="s">
        <v>182</v>
      </c>
      <c r="C84" s="95">
        <f>'DOE25'!F146</f>
        <v>0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 x14ac:dyDescent="0.2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 x14ac:dyDescent="0.2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 x14ac:dyDescent="0.2">
      <c r="A87" t="s">
        <v>751</v>
      </c>
      <c r="B87" s="32" t="s">
        <v>184</v>
      </c>
      <c r="C87" s="95">
        <f>SUM('DOE25'!F152:F160)</f>
        <v>97054.92</v>
      </c>
      <c r="D87" s="95">
        <f>SUM('DOE25'!G152:G160)</f>
        <v>62804.85</v>
      </c>
      <c r="E87" s="95">
        <f>SUM('DOE25'!H152:H160)</f>
        <v>233223.56</v>
      </c>
      <c r="F87" s="95">
        <f>SUM('DOE25'!I152:I160)</f>
        <v>0</v>
      </c>
      <c r="G87" s="24" t="s">
        <v>289</v>
      </c>
    </row>
    <row r="88" spans="1:9" x14ac:dyDescent="0.2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430.56</v>
      </c>
      <c r="F88" s="95">
        <f>'DOE25'!I162</f>
        <v>0</v>
      </c>
      <c r="G88" s="24" t="s">
        <v>289</v>
      </c>
    </row>
    <row r="89" spans="1:9" ht="12" thickBot="1" x14ac:dyDescent="0.25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 x14ac:dyDescent="0.25">
      <c r="A90" s="33" t="s">
        <v>754</v>
      </c>
      <c r="C90" s="131">
        <f>SUM(C84:C89)</f>
        <v>97054.92</v>
      </c>
      <c r="D90" s="131">
        <f>SUM(D84:D89)</f>
        <v>62804.85</v>
      </c>
      <c r="E90" s="131">
        <f>SUM(E84:E89)</f>
        <v>233654.12</v>
      </c>
      <c r="F90" s="131">
        <f>SUM(F84:F89)</f>
        <v>0</v>
      </c>
      <c r="G90" s="24" t="s">
        <v>289</v>
      </c>
    </row>
    <row r="91" spans="1:9" ht="12" thickTop="1" x14ac:dyDescent="0.2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 x14ac:dyDescent="0.2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 x14ac:dyDescent="0.2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 x14ac:dyDescent="0.2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 x14ac:dyDescent="0.2">
      <c r="A95" t="s">
        <v>757</v>
      </c>
      <c r="B95" s="32">
        <v>5210</v>
      </c>
      <c r="C95" s="24" t="s">
        <v>289</v>
      </c>
      <c r="D95" s="95">
        <f>'DOE25'!G178</f>
        <v>0</v>
      </c>
      <c r="E95" s="95">
        <f>'DOE25'!H178</f>
        <v>0</v>
      </c>
      <c r="F95" s="95">
        <f>'DOE25'!I178</f>
        <v>0</v>
      </c>
      <c r="G95" s="95">
        <f>'DOE25'!J178</f>
        <v>100000</v>
      </c>
    </row>
    <row r="96" spans="1:9" x14ac:dyDescent="0.2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 x14ac:dyDescent="0.2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 x14ac:dyDescent="0.2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 x14ac:dyDescent="0.2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 x14ac:dyDescent="0.2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 x14ac:dyDescent="0.25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 x14ac:dyDescent="0.25">
      <c r="A102" s="33" t="s">
        <v>764</v>
      </c>
      <c r="C102" s="86">
        <f>SUM(C92:C101)</f>
        <v>0</v>
      </c>
      <c r="D102" s="86">
        <f>SUM(D92:D101)</f>
        <v>0</v>
      </c>
      <c r="E102" s="86">
        <f>SUM(E92:E101)</f>
        <v>0</v>
      </c>
      <c r="F102" s="86">
        <f>SUM(F92:F101)</f>
        <v>0</v>
      </c>
      <c r="G102" s="86">
        <f>SUM(G92:G101)</f>
        <v>100000</v>
      </c>
    </row>
    <row r="103" spans="1:7" ht="12.75" thickTop="1" thickBot="1" x14ac:dyDescent="0.25">
      <c r="A103" s="33" t="s">
        <v>765</v>
      </c>
      <c r="C103" s="86">
        <f>C62+C80+C90+C102</f>
        <v>10660872.639999999</v>
      </c>
      <c r="D103" s="86">
        <f>D62+D80+D90+D102</f>
        <v>208175.75</v>
      </c>
      <c r="E103" s="86">
        <f>E62+E80+E90+E102</f>
        <v>266809.89</v>
      </c>
      <c r="F103" s="86">
        <f>F62+F80+F90+F102</f>
        <v>0</v>
      </c>
      <c r="G103" s="86">
        <f>G62+G80+G102</f>
        <v>101286.94</v>
      </c>
    </row>
    <row r="104" spans="1:7" ht="12" thickTop="1" x14ac:dyDescent="0.2"/>
    <row r="105" spans="1:7" x14ac:dyDescent="0.2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 x14ac:dyDescent="0.2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 x14ac:dyDescent="0.2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t="s">
        <v>196</v>
      </c>
      <c r="B108" s="32" t="s">
        <v>197</v>
      </c>
      <c r="C108" s="95">
        <f>('DOE25'!L196)+('DOE25'!L214)+('DOE25'!L232)</f>
        <v>5917124.2599999998</v>
      </c>
      <c r="D108" s="24" t="s">
        <v>289</v>
      </c>
      <c r="E108" s="95">
        <f>('DOE25'!L275)+('DOE25'!L294)+('DOE25'!L313)</f>
        <v>25094.36</v>
      </c>
      <c r="F108" s="24" t="s">
        <v>289</v>
      </c>
      <c r="G108" s="24" t="s">
        <v>289</v>
      </c>
    </row>
    <row r="109" spans="1:7" x14ac:dyDescent="0.2">
      <c r="A109" t="s">
        <v>198</v>
      </c>
      <c r="B109" s="32" t="s">
        <v>199</v>
      </c>
      <c r="C109" s="95">
        <f>('DOE25'!L197)+('DOE25'!L215)+('DOE25'!L233)</f>
        <v>2104707.5300000003</v>
      </c>
      <c r="D109" s="24" t="s">
        <v>289</v>
      </c>
      <c r="E109" s="95">
        <f>('DOE25'!L276)+('DOE25'!L295)+('DOE25'!L314)</f>
        <v>96490.74</v>
      </c>
      <c r="F109" s="24" t="s">
        <v>289</v>
      </c>
      <c r="G109" s="24" t="s">
        <v>289</v>
      </c>
    </row>
    <row r="110" spans="1:7" x14ac:dyDescent="0.2">
      <c r="A110" t="s">
        <v>200</v>
      </c>
      <c r="B110" s="32" t="s">
        <v>165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201</v>
      </c>
      <c r="B111" s="32" t="s">
        <v>167</v>
      </c>
      <c r="C111" s="95">
        <f>('DOE25'!L199)+('DOE25'!L217)+('DOE25'!L235)</f>
        <v>45990.96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 x14ac:dyDescent="0.25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 x14ac:dyDescent="0.25">
      <c r="A114" s="33" t="s">
        <v>205</v>
      </c>
      <c r="C114" s="86">
        <f>SUM(C108:C113)</f>
        <v>8067822.75</v>
      </c>
      <c r="D114" s="86">
        <f>SUM(D108:D113)</f>
        <v>0</v>
      </c>
      <c r="E114" s="86">
        <f>SUM(E108:E113)</f>
        <v>121585.1</v>
      </c>
      <c r="F114" s="86">
        <f>SUM(F108:F113)</f>
        <v>0</v>
      </c>
      <c r="G114" s="86">
        <f>SUM(G108:G113)</f>
        <v>0</v>
      </c>
    </row>
    <row r="115" spans="1:7" ht="12" thickTop="1" x14ac:dyDescent="0.2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 x14ac:dyDescent="0.2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t="s">
        <v>206</v>
      </c>
      <c r="B117" s="32" t="s">
        <v>207</v>
      </c>
      <c r="C117" s="95">
        <f>('DOE25'!L201)+('DOE25'!L219)+('DOE25'!L237)</f>
        <v>630877.87</v>
      </c>
      <c r="D117" s="24" t="s">
        <v>289</v>
      </c>
      <c r="E117" s="95">
        <f>+('DOE25'!L280)+('DOE25'!L299)+('DOE25'!L318)</f>
        <v>73663.87</v>
      </c>
      <c r="F117" s="24" t="s">
        <v>289</v>
      </c>
      <c r="G117" s="24" t="s">
        <v>289</v>
      </c>
    </row>
    <row r="118" spans="1:7" x14ac:dyDescent="0.2">
      <c r="A118" t="s">
        <v>208</v>
      </c>
      <c r="B118" s="32" t="s">
        <v>209</v>
      </c>
      <c r="C118" s="95">
        <f>('DOE25'!L202)+('DOE25'!L220)+('DOE25'!L238)</f>
        <v>92731.030000000013</v>
      </c>
      <c r="D118" s="24" t="s">
        <v>289</v>
      </c>
      <c r="E118" s="95">
        <f>+('DOE25'!L281)+('DOE25'!L300)+('DOE25'!L319)</f>
        <v>30783.74</v>
      </c>
      <c r="F118" s="24" t="s">
        <v>289</v>
      </c>
      <c r="G118" s="24" t="s">
        <v>289</v>
      </c>
    </row>
    <row r="119" spans="1:7" x14ac:dyDescent="0.2">
      <c r="A119" t="s">
        <v>210</v>
      </c>
      <c r="B119" s="32" t="s">
        <v>211</v>
      </c>
      <c r="C119" s="95">
        <f>('DOE25'!L203)+('DOE25'!L221)+('DOE25'!L239)</f>
        <v>259639.63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212</v>
      </c>
      <c r="B120" s="32" t="s">
        <v>213</v>
      </c>
      <c r="C120" s="95">
        <f>('DOE25'!L204)+('DOE25'!L222)+('DOE25'!L240)</f>
        <v>340717.37</v>
      </c>
      <c r="D120" s="24" t="s">
        <v>289</v>
      </c>
      <c r="E120" s="95">
        <f>+('DOE25'!L283)+('DOE25'!L302)+('DOE25'!L321)</f>
        <v>4804.8</v>
      </c>
      <c r="F120" s="24" t="s">
        <v>289</v>
      </c>
      <c r="G120" s="24" t="s">
        <v>289</v>
      </c>
    </row>
    <row r="121" spans="1:7" x14ac:dyDescent="0.2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4095.31</v>
      </c>
      <c r="F121" s="24" t="s">
        <v>289</v>
      </c>
      <c r="G121" s="24" t="s">
        <v>289</v>
      </c>
    </row>
    <row r="122" spans="1:7" x14ac:dyDescent="0.2">
      <c r="A122" t="s">
        <v>216</v>
      </c>
      <c r="B122" s="32" t="s">
        <v>217</v>
      </c>
      <c r="C122" s="95">
        <f>('DOE25'!L206)+('DOE25'!L224)+('DOE25'!L242)</f>
        <v>609368.43999999994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218</v>
      </c>
      <c r="B123" s="32" t="s">
        <v>219</v>
      </c>
      <c r="C123" s="95">
        <f>('DOE25'!L207)+('DOE25'!L225)+('DOE25'!L243+'DOE25'!L253)</f>
        <v>557946.68999999994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220</v>
      </c>
      <c r="B124" s="32" t="s">
        <v>221</v>
      </c>
      <c r="C124" s="95">
        <f>('DOE25'!L208)+('DOE25'!L226)+('DOE25'!L244)</f>
        <v>140068.79999999999</v>
      </c>
      <c r="D124" s="24" t="s">
        <v>289</v>
      </c>
      <c r="E124" s="95">
        <f>+('DOE25'!L287)+('DOE25'!L306)+('DOE25'!L325)</f>
        <v>31877.07</v>
      </c>
      <c r="F124" s="24" t="s">
        <v>289</v>
      </c>
      <c r="G124" s="24" t="s">
        <v>289</v>
      </c>
    </row>
    <row r="125" spans="1:7" x14ac:dyDescent="0.2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 x14ac:dyDescent="0.25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192811.77</v>
      </c>
      <c r="E126" s="24" t="s">
        <v>289</v>
      </c>
      <c r="F126" s="24" t="s">
        <v>289</v>
      </c>
      <c r="G126" s="24" t="s">
        <v>289</v>
      </c>
    </row>
    <row r="127" spans="1:7" ht="12.75" thickTop="1" thickBot="1" x14ac:dyDescent="0.25">
      <c r="A127" s="33" t="s">
        <v>226</v>
      </c>
      <c r="C127" s="86">
        <f>SUM(C117:C126)</f>
        <v>2631349.8299999996</v>
      </c>
      <c r="D127" s="86">
        <f>SUM(D117:D126)</f>
        <v>192811.77</v>
      </c>
      <c r="E127" s="86">
        <f>SUM(E117:E126)</f>
        <v>145224.79</v>
      </c>
      <c r="F127" s="86">
        <f>SUM(F117:F126)</f>
        <v>0</v>
      </c>
      <c r="G127" s="86">
        <f>SUM(G117:G126)</f>
        <v>0</v>
      </c>
    </row>
    <row r="128" spans="1:7" ht="12" thickTop="1" x14ac:dyDescent="0.2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 x14ac:dyDescent="0.2">
      <c r="A129" t="s">
        <v>227</v>
      </c>
      <c r="B129" s="32" t="s">
        <v>228</v>
      </c>
      <c r="C129" s="95">
        <f>'DOE25'!L254</f>
        <v>28575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 x14ac:dyDescent="0.2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 x14ac:dyDescent="0.2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 x14ac:dyDescent="0.2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 x14ac:dyDescent="0.2">
      <c r="A134" t="s">
        <v>233</v>
      </c>
      <c r="B134" s="32" t="s">
        <v>234</v>
      </c>
      <c r="C134" s="95">
        <f>'DOE25'!L262</f>
        <v>0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 x14ac:dyDescent="0.2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 x14ac:dyDescent="0.2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 x14ac:dyDescent="0.2">
      <c r="A137" t="s">
        <v>238</v>
      </c>
      <c r="B137" s="32">
        <v>5251</v>
      </c>
      <c r="C137" s="95">
        <f>'DOE25'!L392</f>
        <v>32416.33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 x14ac:dyDescent="0.2">
      <c r="A138" t="s">
        <v>239</v>
      </c>
      <c r="B138" s="32">
        <v>5252</v>
      </c>
      <c r="C138" s="95">
        <f>'DOE25'!L400</f>
        <v>68870.61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766</v>
      </c>
      <c r="B140" s="32">
        <v>5254</v>
      </c>
      <c r="C140" s="95">
        <f>('DOE25'!L265+'DOE25'!K346) - (C137+C138+C139)</f>
        <v>-1286.9400000000023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 x14ac:dyDescent="0.25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s="33" t="s">
        <v>243</v>
      </c>
      <c r="C143" s="141">
        <f>SUM(C129:C142)</f>
        <v>128575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 x14ac:dyDescent="0.25">
      <c r="A144" s="33" t="s">
        <v>244</v>
      </c>
      <c r="C144" s="86">
        <f>(C114+C127+C143)</f>
        <v>10827747.58</v>
      </c>
      <c r="D144" s="86">
        <f>(D114+D127+D143)</f>
        <v>192811.77</v>
      </c>
      <c r="E144" s="86">
        <f>(E114+E127+E143)</f>
        <v>266809.89</v>
      </c>
      <c r="F144" s="86">
        <f>(F114+F127+F143)</f>
        <v>0</v>
      </c>
      <c r="G144" s="86">
        <f>(G114+G127+G143)</f>
        <v>0</v>
      </c>
    </row>
    <row r="145" spans="1:9" ht="12" thickTop="1" x14ac:dyDescent="0.2">
      <c r="A145" s="33"/>
    </row>
    <row r="147" spans="1:9" x14ac:dyDescent="0.2">
      <c r="A147" s="135" t="s">
        <v>245</v>
      </c>
      <c r="B147" s="132"/>
      <c r="C147" s="115"/>
      <c r="D147" s="116"/>
      <c r="E147" s="116"/>
      <c r="F147" s="116"/>
      <c r="G147" s="116"/>
    </row>
    <row r="148" spans="1:9" x14ac:dyDescent="0.2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 x14ac:dyDescent="0.2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 x14ac:dyDescent="0.2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 x14ac:dyDescent="0.2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 x14ac:dyDescent="0.2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 x14ac:dyDescent="0.2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 x14ac:dyDescent="0.2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 x14ac:dyDescent="0.2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 x14ac:dyDescent="0.2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2012-2013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11" workbookViewId="0">
      <selection activeCell="C37" sqref="C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Auburn School District</v>
      </c>
    </row>
    <row r="3" spans="1:4" x14ac:dyDescent="0.2">
      <c r="B3" s="188" t="s">
        <v>904</v>
      </c>
    </row>
    <row r="4" spans="1:4" x14ac:dyDescent="0.2">
      <c r="B4" t="s">
        <v>61</v>
      </c>
      <c r="C4" s="179">
        <f>IF('DOE25'!F664+'DOE25'!F669=0,0,ROUND('DOE25'!F671,0))</f>
        <v>11054</v>
      </c>
    </row>
    <row r="5" spans="1:4" x14ac:dyDescent="0.2">
      <c r="B5" t="s">
        <v>704</v>
      </c>
      <c r="C5" s="179">
        <f>IF('DOE25'!G664+'DOE25'!G669=0,0,ROUND('DOE25'!G671,0))</f>
        <v>0</v>
      </c>
    </row>
    <row r="6" spans="1:4" x14ac:dyDescent="0.2">
      <c r="B6" t="s">
        <v>62</v>
      </c>
      <c r="C6" s="179">
        <f>IF('DOE25'!H664+'DOE25'!H669=0,0,ROUND('DOE25'!H671,0))</f>
        <v>0</v>
      </c>
    </row>
    <row r="7" spans="1:4" x14ac:dyDescent="0.2">
      <c r="B7" t="s">
        <v>705</v>
      </c>
      <c r="C7" s="179">
        <f>IF('DOE25'!I664+'DOE25'!I669=0,0,ROUND('DOE25'!I671,0))</f>
        <v>11054</v>
      </c>
    </row>
    <row r="9" spans="1:4" x14ac:dyDescent="0.2">
      <c r="A9" s="187" t="s">
        <v>94</v>
      </c>
      <c r="B9" s="188" t="s">
        <v>905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ROUND('DOE25'!L196+'DOE25'!L214+'DOE25'!L232+'DOE25'!L275+'DOE25'!L294+'DOE25'!L313,0)</f>
        <v>5942219</v>
      </c>
      <c r="D10" s="182">
        <f>ROUND((C10/$C$28)*100,1)</f>
        <v>53.9</v>
      </c>
    </row>
    <row r="11" spans="1:4" x14ac:dyDescent="0.2">
      <c r="A11">
        <v>1200</v>
      </c>
      <c r="B11" t="s">
        <v>707</v>
      </c>
      <c r="C11" s="179">
        <f>ROUND('DOE25'!L197+'DOE25'!L215+'DOE25'!L233+'DOE25'!L276+'DOE25'!L295+'DOE25'!L314,0)</f>
        <v>2201198</v>
      </c>
      <c r="D11" s="182">
        <f>ROUND((C11/$C$28)*100,1)</f>
        <v>20</v>
      </c>
    </row>
    <row r="12" spans="1:4" x14ac:dyDescent="0.2">
      <c r="A12">
        <v>1300</v>
      </c>
      <c r="B12" t="s">
        <v>708</v>
      </c>
      <c r="C12" s="179">
        <f>ROUND('DOE25'!L198+'DOE25'!L216+'DOE25'!L234+'DOE25'!L277+'DOE25'!L296+'DOE25'!L315,0)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ROUND('DOE25'!L199+'DOE25'!L217+'DOE25'!L235+'DOE25'!L278+'DOE25'!L297+'DOE25'!L316,0)</f>
        <v>45991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ROUND('DOE25'!L201+'DOE25'!L219+'DOE25'!L237+'DOE25'!L280+'DOE25'!L299+'DOE25'!L318,0)</f>
        <v>704542</v>
      </c>
      <c r="D15" s="182">
        <f t="shared" ref="D15:D27" si="0">ROUND((C15/$C$28)*100,1)</f>
        <v>6.4</v>
      </c>
    </row>
    <row r="16" spans="1:4" x14ac:dyDescent="0.2">
      <c r="A16">
        <v>2200</v>
      </c>
      <c r="B16" t="s">
        <v>711</v>
      </c>
      <c r="C16" s="179">
        <f>ROUND('DOE25'!L202+'DOE25'!L220+'DOE25'!L238+'DOE25'!L281+'DOE25'!L300+'DOE25'!L319,0)</f>
        <v>123515</v>
      </c>
      <c r="D16" s="182">
        <f t="shared" si="0"/>
        <v>1.1000000000000001</v>
      </c>
    </row>
    <row r="17" spans="1:4" x14ac:dyDescent="0.2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431586</v>
      </c>
      <c r="D17" s="182">
        <f t="shared" si="0"/>
        <v>3.9</v>
      </c>
    </row>
    <row r="18" spans="1:4" x14ac:dyDescent="0.2">
      <c r="A18">
        <v>2400</v>
      </c>
      <c r="B18" t="s">
        <v>715</v>
      </c>
      <c r="C18" s="179">
        <f>ROUND('DOE25'!L204+'DOE25'!L222+'DOE25'!L240+'DOE25'!L283+'DOE25'!L302+'DOE25'!L321,0)</f>
        <v>345522</v>
      </c>
      <c r="D18" s="182">
        <f t="shared" si="0"/>
        <v>3.1</v>
      </c>
    </row>
    <row r="19" spans="1:4" x14ac:dyDescent="0.2">
      <c r="A19">
        <v>2500</v>
      </c>
      <c r="B19" t="s">
        <v>712</v>
      </c>
      <c r="C19" s="179">
        <f>ROUND('DOE25'!L205+'DOE25'!L223+'DOE25'!L241+'DOE25'!L284+'DOE25'!L303+'DOE25'!L322,0)</f>
        <v>4095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ROUND('DOE25'!L206+'DOE25'!L224+'DOE25'!L242+'DOE25'!L285+'DOE25'!L304+'DOE25'!L323,0)</f>
        <v>609368</v>
      </c>
      <c r="D20" s="182">
        <f t="shared" si="0"/>
        <v>5.5</v>
      </c>
    </row>
    <row r="21" spans="1:4" x14ac:dyDescent="0.2">
      <c r="A21">
        <v>2700</v>
      </c>
      <c r="B21" t="s">
        <v>714</v>
      </c>
      <c r="C21" s="179">
        <f>ROUND('DOE25'!L207+'DOE25'!L225+'DOE25'!L243+'DOE25'!L286+'DOE25'!L305+'DOE25'!L324,0)</f>
        <v>557947</v>
      </c>
      <c r="D21" s="182">
        <f t="shared" si="0"/>
        <v>5.0999999999999996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ROUND('DOE25'!L361-'DOE25'!L360,0)-SUM('DOE25'!G96:G109)</f>
        <v>50193.72</v>
      </c>
      <c r="D27" s="182">
        <f t="shared" si="0"/>
        <v>0.5</v>
      </c>
    </row>
    <row r="28" spans="1:4" x14ac:dyDescent="0.2">
      <c r="B28" s="187" t="s">
        <v>723</v>
      </c>
      <c r="C28" s="180">
        <f>SUM(C10:C27)</f>
        <v>11016176.720000001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28575</v>
      </c>
    </row>
    <row r="30" spans="1:4" x14ac:dyDescent="0.2">
      <c r="B30" s="187" t="s">
        <v>729</v>
      </c>
      <c r="C30" s="180">
        <f>SUM(C28:C29)</f>
        <v>11044751.720000001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ROUND('DOE25'!L259+'DOE25'!L340,0)</f>
        <v>0</v>
      </c>
    </row>
    <row r="34" spans="1:4" x14ac:dyDescent="0.2">
      <c r="A34" s="187" t="s">
        <v>94</v>
      </c>
      <c r="B34" s="188" t="s">
        <v>906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ROUND('DOE25'!F59+'DOE25'!G59+'DOE25'!H59+'DOE25'!I59+'DOE25'!J59,0)</f>
        <v>7074980</v>
      </c>
      <c r="D35" s="182">
        <f t="shared" ref="D35:D40" si="1">ROUND((C35/$C$41)*100,1)</f>
        <v>64.400000000000006</v>
      </c>
    </row>
    <row r="36" spans="1:4" x14ac:dyDescent="0.2">
      <c r="B36" s="185" t="s">
        <v>743</v>
      </c>
      <c r="C36" s="179">
        <f>SUM('DOE25'!F111:J111)-SUM('DOE25'!G96:G109)+('DOE25'!F173+'DOE25'!F174+'DOE25'!I173+'DOE25'!I174)-C35</f>
        <v>105215.29999999981</v>
      </c>
      <c r="D36" s="182">
        <f t="shared" si="1"/>
        <v>1</v>
      </c>
    </row>
    <row r="37" spans="1:4" x14ac:dyDescent="0.2">
      <c r="A37" s="183" t="s">
        <v>851</v>
      </c>
      <c r="B37" s="185" t="s">
        <v>732</v>
      </c>
      <c r="C37" s="179">
        <f>ROUND('DOE25'!F116+'DOE25'!F117,0)</f>
        <v>3376634</v>
      </c>
      <c r="D37" s="182">
        <f t="shared" si="1"/>
        <v>30.7</v>
      </c>
    </row>
    <row r="38" spans="1:4" x14ac:dyDescent="0.2">
      <c r="A38" s="183" t="s">
        <v>738</v>
      </c>
      <c r="B38" s="185" t="s">
        <v>733</v>
      </c>
      <c r="C38" s="179">
        <f>ROUND(SUM('DOE25'!F139:J139)-SUM('DOE25'!F116:F118),0)</f>
        <v>44184</v>
      </c>
      <c r="D38" s="182">
        <f t="shared" si="1"/>
        <v>0.4</v>
      </c>
    </row>
    <row r="39" spans="1:4" x14ac:dyDescent="0.2">
      <c r="A39">
        <v>4000</v>
      </c>
      <c r="B39" s="185" t="s">
        <v>734</v>
      </c>
      <c r="C39" s="179">
        <f>ROUND('DOE25'!F168+'DOE25'!G168+'DOE25'!H168+'DOE25'!I168,0)</f>
        <v>393514</v>
      </c>
      <c r="D39" s="182">
        <f t="shared" si="1"/>
        <v>3.6</v>
      </c>
    </row>
    <row r="40" spans="1:4" x14ac:dyDescent="0.2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10994527.300000001</v>
      </c>
      <c r="D41" s="184">
        <f>SUM(D35:D40)</f>
        <v>100.10000000000001</v>
      </c>
    </row>
    <row r="42" spans="1:4" x14ac:dyDescent="0.2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Auburn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BB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2013-10-11T18:54:21Z</cp:lastPrinted>
  <dcterms:created xsi:type="dcterms:W3CDTF">1997-12-04T19:04:30Z</dcterms:created>
  <dcterms:modified xsi:type="dcterms:W3CDTF">2013-10-11T18:54:24Z</dcterms:modified>
</cp:coreProperties>
</file>