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5" i="1" l="1"/>
  <c r="G525" i="1"/>
  <c r="F525" i="1"/>
  <c r="F520" i="1"/>
  <c r="J520" i="1"/>
  <c r="I520" i="1"/>
  <c r="H520" i="1"/>
  <c r="G520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163" i="2"/>
  <c r="G159" i="2"/>
  <c r="F31" i="2"/>
  <c r="C26" i="10"/>
  <c r="L327" i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F168" i="1"/>
  <c r="J139" i="1"/>
  <c r="F570" i="1"/>
  <c r="H256" i="1"/>
  <c r="H270" i="1" s="1"/>
  <c r="I551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C35" i="10"/>
  <c r="L308" i="1"/>
  <c r="D5" i="13"/>
  <c r="C5" i="13" s="1"/>
  <c r="C49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C22" i="13"/>
  <c r="C137" i="2"/>
  <c r="H33" i="13"/>
  <c r="L336" i="1" l="1"/>
  <c r="G256" i="1"/>
  <c r="G270" i="1" s="1"/>
  <c r="C23" i="10"/>
  <c r="C17" i="10"/>
  <c r="E16" i="13"/>
  <c r="E33" i="13" s="1"/>
  <c r="D35" i="13" s="1"/>
  <c r="F659" i="1"/>
  <c r="F663" i="1" s="1"/>
  <c r="F671" i="1" s="1"/>
  <c r="C4" i="10" s="1"/>
  <c r="C124" i="2"/>
  <c r="C127" i="2" s="1"/>
  <c r="J648" i="1"/>
  <c r="K548" i="1"/>
  <c r="K551" i="1" s="1"/>
  <c r="F551" i="1"/>
  <c r="K502" i="1"/>
  <c r="G621" i="1"/>
  <c r="J621" i="1" s="1"/>
  <c r="C11" i="10"/>
  <c r="F666" i="1"/>
  <c r="C109" i="2"/>
  <c r="C114" i="2" s="1"/>
  <c r="L246" i="1"/>
  <c r="L256" i="1" s="1"/>
  <c r="L270" i="1" s="1"/>
  <c r="G631" i="1" s="1"/>
  <c r="J631" i="1" s="1"/>
  <c r="C16" i="13"/>
  <c r="C61" i="2"/>
  <c r="C62" i="2" s="1"/>
  <c r="C50" i="2"/>
  <c r="C18" i="2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H645" i="1" l="1"/>
  <c r="H659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63" i="1" l="1"/>
  <c r="I659" i="1"/>
  <c r="I663" i="1" s="1"/>
  <c r="I671" i="1" s="1"/>
  <c r="C7" i="10" s="1"/>
  <c r="H655" i="1"/>
  <c r="D28" i="10"/>
  <c r="C41" i="10"/>
  <c r="D38" i="10" s="1"/>
  <c r="I666" i="1" l="1"/>
  <c r="H671" i="1"/>
  <c r="C6" i="10" s="1"/>
  <c r="H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<sst xmlns="http://schemas.openxmlformats.org/spreadsheetml/2006/main" count="3946" uniqueCount="912">
  <si>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</si>
  <si>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</si>
  <si>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</si>
  <si>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</si>
  <si>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</si>
  <si>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</si>
  <si>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</si>
  <si>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</si>
  <si>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</si>
  <si>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</si>
  <si>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</si>
  <si>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</si>
  <si>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</si>
  <si>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</si>
  <si>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</si>
  <si>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</si>
  <si>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</si>
  <si>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</si>
  <si>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</si>
  <si>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</si>
  <si>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</si>
  <si>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</si>
  <si>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</si>
  <si>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</si>
  <si>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</si>
  <si>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</si>
  <si>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</si>
  <si>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</si>
  <si>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</si>
  <si>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</si>
  <si>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</si>
  <si>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</si>
  <si>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</si>
  <si>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</si>
  <si>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</si>
  <si>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</si>
  <si>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</si>
  <si>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</si>
  <si>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</si>
  <si>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</si>
  <si>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</si>
  <si>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</si>
  <si>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</si>
  <si>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</si>
  <si>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</si>
  <si>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</si>
  <si>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</si>
  <si>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</si>
  <si>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</si>
  <si>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</si>
  <si>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</si>
  <si>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</si>
  <si>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</si>
  <si>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</si>
  <si>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</si>
  <si>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</si>
  <si>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</si>
  <si>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</si>
  <si>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</si>
  <si>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</si>
  <si>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</si>
  <si>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</si>
  <si>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</si>
  <si>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</si>
  <si>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</si>
  <si>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</si>
  <si>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</si>
  <si>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</si>
  <si>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</si>
  <si>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</si>
  <si>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</si>
  <si>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</si>
  <si>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</si>
  <si>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</si>
  <si>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</si>
  <si>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</si>
  <si>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</si>
  <si>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</si>
  <si>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</si>
  <si>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</si>
  <si>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</si>
  <si>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</si>
  <si>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</si>
  <si>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</si>
  <si>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</si>
  <si>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</si>
  <si>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</si>
  <si>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</si>
  <si>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</si>
  <si>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</si>
  <si>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</si>
  <si>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</si>
  <si>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</si>
  <si>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</si>
  <si>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</si>
  <si>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</si>
  <si>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</si>
  <si>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</si>
  <si>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</si>
  <si>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</si>
  <si>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</si>
  <si>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</si>
  <si>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</si>
  <si>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</si>
  <si>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</si>
  <si>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</si>
  <si>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</si>
  <si>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</si>
  <si>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</si>
  <si>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</si>
  <si>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</si>
  <si>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</si>
  <si>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</si>
  <si>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</si>
  <si>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</si>
  <si>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</si>
  <si>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</si>
  <si>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</si>
  <si>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</si>
  <si>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</si>
  <si>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</si>
  <si>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</si>
  <si>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</si>
  <si>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</si>
  <si>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</si>
  <si>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</si>
  <si>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</si>
  <si>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</si>
  <si>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</si>
  <si>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</si>
  <si>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</si>
  <si>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</si>
  <si>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</si>
  <si>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</si>
  <si>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</si>
  <si>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</si>
  <si>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</si>
  <si>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</si>
  <si>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</si>
  <si>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</si>
  <si>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</si>
  <si>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</si>
  <si>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</si>
  <si>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</si>
  <si>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</si>
  <si>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</si>
  <si>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</si>
  <si>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</si>
  <si>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</si>
  <si>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</si>
  <si>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</si>
  <si>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</si>
  <si>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</si>
  <si>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</si>
  <si>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</si>
  <si>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</si>
  <si>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</si>
  <si>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</si>
  <si>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</si>
  <si>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</si>
  <si>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</si>
  <si>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</si>
  <si>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</si>
  <si>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</si>
  <si>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</si>
  <si>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</si>
  <si>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</si>
  <si>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</si>
  <si>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</si>
  <si>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</si>
  <si>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</si>
  <si>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</si>
  <si>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</si>
  <si>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</si>
  <si>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</si>
  <si>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</si>
  <si>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</si>
  <si>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</si>
  <si>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</si>
  <si>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</si>
  <si>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</si>
  <si>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</si>
  <si>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</si>
  <si>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</si>
  <si>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</si>
  <si>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</si>
  <si>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</si>
  <si>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</si>
  <si>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</si>
  <si>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</si>
  <si>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</si>
  <si>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</si>
  <si>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</si>
  <si>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</si>
  <si>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</si>
  <si>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</si>
  <si>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</si>
  <si>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</si>
  <si>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</si>
  <si>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</si>
  <si>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</si>
  <si>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</si>
  <si>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</si>
  <si>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</si>
  <si>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</si>
  <si>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</si>
  <si>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</si>
  <si>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</si>
  <si>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</si>
  <si>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</si>
  <si>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</si>
  <si>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</si>
  <si>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</si>
  <si>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</si>
  <si>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</si>
  <si>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</si>
  <si>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</si>
  <si>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</si>
  <si>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</si>
  <si>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</si>
  <si>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</si>
  <si>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</si>
  <si>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</si>
  <si>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</si>
  <si>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</si>
  <si>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</si>
  <si>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</si>
  <si>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</si>
  <si>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</si>
  <si>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</si>
  <si>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</si>
  <si>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</si>
  <si>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</si>
  <si>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</si>
  <si>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</si>
  <si>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</si>
  <si>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</si>
  <si>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</si>
  <si>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</si>
  <si>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</si>
  <si>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</si>
  <si>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</si>
  <si>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</si>
  <si>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</si>
  <si>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</si>
  <si>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</si>
  <si>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</si>
  <si>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</si>
  <si>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</si>
  <si>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</si>
  <si>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</si>
  <si>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</si>
  <si>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</si>
  <si>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</si>
  <si>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</si>
  <si>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</si>
  <si>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</si>
  <si>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</si>
  <si>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</si>
  <si>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</si>
  <si>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</si>
  <si>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</si>
  <si>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</si>
  <si>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</si>
  <si>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</si>
  <si>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</si>
  <si>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</si>
  <si>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</si>
  <si>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</si>
  <si>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</si>
  <si>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</si>
  <si>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</si>
  <si>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</si>
  <si>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</si>
  <si>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</si>
  <si>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</si>
  <si>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</si>
  <si>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</si>
  <si>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</si>
  <si>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</si>
  <si>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</si>
  <si>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</si>
  <si>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</si>
  <si>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</si>
  <si>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</si>
  <si>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</si>
  <si>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</si>
  <si>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</si>
  <si>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</si>
  <si>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</si>
  <si>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</si>
  <si>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</si>
  <si>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</si>
  <si>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</si>
  <si>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</si>
  <si>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</si>
  <si>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</si>
  <si>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</si>
  <si>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</si>
  <si>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</si>
  <si>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</si>
  <si>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</si>
  <si>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</si>
  <si>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</si>
  <si>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</si>
  <si>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</si>
  <si>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</si>
  <si>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</si>
  <si>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</si>
  <si>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</si>
  <si>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</si>
  <si>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</si>
  <si>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</si>
  <si>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</si>
  <si>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</si>
  <si>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</si>
  <si>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</si>
  <si>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</si>
  <si>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</si>
  <si>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</si>
  <si>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</si>
  <si>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</si>
  <si>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</si>
  <si>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</si>
  <si>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</si>
  <si>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</si>
  <si>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</si>
  <si>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</si>
  <si>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</si>
  <si>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</si>
  <si>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</si>
  <si>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</si>
  <si>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</si>
  <si>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</si>
  <si>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</si>
  <si>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</si>
  <si>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</si>
  <si>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</si>
  <si>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</si>
  <si>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</si>
  <si>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</si>
  <si>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</si>
  <si>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</si>
  <si>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</si>
  <si>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</si>
  <si>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</si>
  <si>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</si>
  <si>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</si>
  <si>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</si>
  <si>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</si>
  <si>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</si>
  <si>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</si>
  <si>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</si>
  <si>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</si>
  <si>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</si>
  <si>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</si>
  <si>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</si>
  <si>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</si>
  <si>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</si>
  <si>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</si>
  <si>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</si>
  <si>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</si>
  <si>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</si>
  <si>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</si>
  <si>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</si>
  <si>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</si>
  <si>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</si>
  <si>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</si>
  <si>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</si>
  <si>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</si>
  <si>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</si>
  <si>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</si>
  <si>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</si>
  <si>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</si>
  <si>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</si>
  <si>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</si>
  <si>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</si>
  <si>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</si>
  <si>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</si>
  <si>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</si>
  <si>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</si>
  <si>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</si>
  <si>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</si>
  <si>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</si>
  <si>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</si>
  <si>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</si>
  <si>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</si>
  <si>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</si>
  <si>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</si>
  <si>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</si>
  <si>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</si>
  <si>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</si>
  <si>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</si>
  <si>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</si>
  <si>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</si>
  <si>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</si>
  <si>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</si>
  <si>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</si>
  <si>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</si>
  <si>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</si>
  <si>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</si>
  <si>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</si>
  <si>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</si>
  <si>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</si>
  <si>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</si>
  <si>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</si>
  <si>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</si>
  <si>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</si>
  <si>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</si>
  <si>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</si>
  <si>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</si>
  <si>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</si>
  <si>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</si>
  <si>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</si>
  <si>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</si>
  <si>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</si>
  <si>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</si>
  <si>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</si>
  <si>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</si>
  <si>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</si>
  <si>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</si>
  <si>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</si>
  <si>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</si>
  <si>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</si>
  <si>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</si>
  <si>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</si>
  <si>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</si>
  <si>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</si>
  <si>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</si>
  <si>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</si>
  <si>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</si>
  <si>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</si>
  <si>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</si>
  <si>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</si>
  <si>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</si>
  <si>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</si>
  <si>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</si>
  <si>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</si>
  <si>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</si>
  <si>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</si>
  <si>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</si>
  <si>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</si>
  <si>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</si>
  <si>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</si>
  <si>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</si>
  <si>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</si>
  <si>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</si>
  <si>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</si>
  <si>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</si>
  <si>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</si>
  <si>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</si>
  <si>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</si>
  <si>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</si>
  <si>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</si>
  <si>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</si>
  <si>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</si>
  <si>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</si>
  <si>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</si>
  <si>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</si>
  <si>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</si>
  <si>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</si>
  <si>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</si>
  <si>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</si>
  <si>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</si>
  <si>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</si>
  <si>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</si>
  <si>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</si>
  <si>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</si>
  <si>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</si>
  <si>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</si>
  <si>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</si>
  <si>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</si>
  <si>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</si>
  <si>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</si>
  <si>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</si>
  <si>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</si>
  <si>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</si>
  <si>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</si>
  <si>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</si>
  <si>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</si>
  <si>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</si>
  <si>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</si>
  <si>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</si>
  <si>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</si>
  <si>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</si>
  <si>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</si>
  <si>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</si>
  <si>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</si>
  <si>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</si>
  <si>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</si>
  <si>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</si>
  <si>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</si>
  <si>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</si>
  <si>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</si>
  <si>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</si>
  <si>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</si>
  <si>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</si>
  <si>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</si>
  <si>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</si>
  <si>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</si>
  <si>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</si>
  <si>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</si>
  <si>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</si>
  <si>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</si>
  <si>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</si>
  <si>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</si>
  <si>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</si>
  <si>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</si>
  <si>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</si>
  <si>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</si>
  <si>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</si>
  <si>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</si>
  <si>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</si>
  <si>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</si>
  <si>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</si>
  <si>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</si>
  <si>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</si>
  <si>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</si>
  <si>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</si>
  <si>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</si>
  <si>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</si>
  <si>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</si>
  <si>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</si>
  <si>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</si>
  <si>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</si>
  <si>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</si>
  <si>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</si>
  <si>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</si>
  <si>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</si>
  <si>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</si>
  <si>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</si>
  <si>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</si>
  <si>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</si>
  <si>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</si>
  <si>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</si>
  <si>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</si>
  <si>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</si>
  <si>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</si>
  <si>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</si>
  <si>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</si>
  <si>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</si>
  <si>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</si>
  <si>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</si>
  <si>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</si>
  <si>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</si>
  <si>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</si>
  <si>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</si>
  <si>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</si>
  <si>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</si>
  <si>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</si>
  <si>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</si>
  <si>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</si>
  <si>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</si>
  <si>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</si>
  <si>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</si>
  <si>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</si>
  <si>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</si>
  <si>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</si>
  <si>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</si>
  <si>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</si>
  <si>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</si>
  <si>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</si>
  <si>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</si>
  <si>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</si>
  <si>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</si>
  <si>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</si>
  <si>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</si>
  <si>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</si>
  <si>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</si>
  <si>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</si>
  <si>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</si>
  <si>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</si>
  <si>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</si>
  <si>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</si>
  <si>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</si>
  <si>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</si>
  <si>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</si>
  <si>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</si>
  <si>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</si>
  <si>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</si>
  <si>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</si>
  <si>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</si>
  <si>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</si>
  <si>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</si>
  <si>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</si>
  <si>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</si>
  <si>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</si>
  <si>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</si>
  <si>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</si>
  <si>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</si>
  <si>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</si>
  <si>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</si>
  <si>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</si>
  <si>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</si>
  <si>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</si>
  <si>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</si>
  <si>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</si>
  <si>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</si>
  <si>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</si>
  <si>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</si>
  <si>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</si>
  <si>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</si>
  <si>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</si>
  <si>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</si>
  <si>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</si>
  <si>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</si>
  <si>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</si>
  <si>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</si>
  <si>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</si>
  <si>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</si>
  <si>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</si>
  <si>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</si>
  <si>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</si>
  <si>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</si>
  <si>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</si>
  <si>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</si>
  <si>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</si>
  <si>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</si>
  <si>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</si>
  <si>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</si>
  <si>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</si>
  <si>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</si>
  <si>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</si>
  <si>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</si>
  <si>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</si>
  <si>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</si>
  <si>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</si>
  <si>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</si>
  <si>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</si>
  <si>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</si>
  <si>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</si>
  <si>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</si>
  <si>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</si>
  <si>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</si>
  <si>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</si>
  <si>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</si>
  <si>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</si>
  <si>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</si>
  <si>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</si>
  <si>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</si>
  <si>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</si>
  <si>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</si>
  <si>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</si>
  <si>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</si>
  <si>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</si>
  <si>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</si>
  <si>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</si>
  <si>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</si>
  <si>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</si>
  <si>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</si>
  <si>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</si>
  <si>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</si>
  <si>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</si>
  <si>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</si>
  <si>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</si>
  <si>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</si>
  <si>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</si>
  <si>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</si>
  <si>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</si>
  <si>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</si>
  <si>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</si>
  <si>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</si>
  <si>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</si>
  <si>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</si>
  <si>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</si>
  <si>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</si>
  <si>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</si>
  <si>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</si>
  <si>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</si>
  <si>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</si>
  <si>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</si>
  <si>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</si>
  <si>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</si>
  <si>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</si>
  <si>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</si>
  <si>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</si>
  <si>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</si>
  <si>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</si>
  <si>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</si>
  <si>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</si>
  <si>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</si>
  <si>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</si>
  <si>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</si>
  <si>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</si>
  <si>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</si>
  <si>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</si>
  <si>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</si>
  <si>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</si>
  <si>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</si>
  <si>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</si>
  <si>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</si>
  <si>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</si>
  <si>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</si>
  <si>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</si>
  <si>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</si>
  <si>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</si>
  <si>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</si>
  <si>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</si>
  <si>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</si>
  <si>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</si>
  <si>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</si>
  <si>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</si>
  <si>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</si>
  <si>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</si>
  <si>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</si>
  <si>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</si>
  <si>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</si>
  <si>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</si>
  <si>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</si>
  <si>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</si>
  <si>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</si>
  <si>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</si>
  <si>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</si>
  <si>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</si>
  <si>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</si>
  <si>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</si>
  <si>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</si>
  <si>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</si>
  <si>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</si>
  <si>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</si>
  <si>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</si>
  <si>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</si>
  <si>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</si>
  <si>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</si>
  <si>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</si>
  <si>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</si>
  <si>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</si>
  <si>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</si>
  <si>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</si>
  <si>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</si>
  <si>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</si>
  <si>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</si>
  <si>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</si>
  <si>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</si>
  <si>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</si>
  <si>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</si>
  <si>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</si>
  <si>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</si>
  <si>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</si>
  <si>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</si>
  <si>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</si>
  <si>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</si>
  <si>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</si>
  <si>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</si>
  <si>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</si>
  <si>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</si>
  <si>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</si>
  <si>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</si>
  <si>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</si>
  <si>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</si>
  <si>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</si>
  <si>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</si>
  <si>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</si>
  <si>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</si>
  <si>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</si>
  <si>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</si>
  <si>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</si>
  <si>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</si>
  <si>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</si>
  <si>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</si>
  <si>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</si>
  <si>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</si>
  <si>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</si>
  <si>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</si>
  <si>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</si>
  <si>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</si>
  <si>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</si>
  <si>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</si>
  <si>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</si>
  <si>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</si>
  <si>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</si>
  <si>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</si>
  <si>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</si>
  <si>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</si>
  <si>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</si>
  <si>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</si>
  <si>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</si>
  <si>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</si>
  <si>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</si>
  <si>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</si>
  <si>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</si>
  <si>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</si>
  <si>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</si>
  <si>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</si>
  <si>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</si>
  <si>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</si>
  <si>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</si>
  <si>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</si>
  <si>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</si>
  <si>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</si>
  <si>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</si>
  <si>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</si>
  <si>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</si>
  <si>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</si>
  <si>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</si>
  <si>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</si>
  <si>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</si>
  <si>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</si>
  <si>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</si>
  <si>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</si>
  <si>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</si>
  <si>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</si>
  <si>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</si>
  <si>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</si>
  <si>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</si>
  <si>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</si>
  <si>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</si>
  <si>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</si>
  <si>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</si>
  <si>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</si>
  <si>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</si>
  <si>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</si>
  <si>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</si>
  <si>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</si>
  <si>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</si>
  <si>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</si>
  <si>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</si>
  <si>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</si>
  <si>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</si>
  <si>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</si>
  <si>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</si>
  <si>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</si>
  <si>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</si>
  <si>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</si>
  <si>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</si>
  <si>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</si>
  <si>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</si>
  <si>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</si>
  <si>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</si>
  <si>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</si>
  <si>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</si>
  <si>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</si>
  <si>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</si>
  <si>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</si>
  <si>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</si>
  <si>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</si>
  <si>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</si>
  <si>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</si>
  <si>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</si>
  <si>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</si>
  <si>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</si>
  <si>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</si>
  <si>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</si>
  <si>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</si>
  <si>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</si>
  <si>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</si>
  <si>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</si>
  <si>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</si>
  <si>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</si>
  <si>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</si>
  <si>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</si>
  <si>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</si>
  <si>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</si>
  <si>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</si>
  <si>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</si>
  <si>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</si>
  <si>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</si>
  <si>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</si>
  <si>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</si>
  <si>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</si>
  <si>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</si>
  <si>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</si>
  <si>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</si>
  <si>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</si>
  <si>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</si>
  <si>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</si>
  <si>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</si>
  <si>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</si>
  <si>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</si>
  <si>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</si>
  <si>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</si>
  <si>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</si>
  <si>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</si>
  <si>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</si>
  <si>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</si>
  <si>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</si>
  <si>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</si>
  <si>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</si>
  <si>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</si>
  <si>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</si>
  <si>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</si>
  <si>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</si>
  <si>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</si>
  <si>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</si>
  <si>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</si>
  <si>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</si>
  <si>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</si>
  <si>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</si>
  <si>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</si>
  <si>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</si>
  <si>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</si>
  <si>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</si>
  <si>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</si>
  <si>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</si>
  <si>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</si>
  <si>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</si>
  <si>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</si>
  <si>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</si>
  <si>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</si>
  <si>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</si>
  <si>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</si>
  <si>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</si>
  <si>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</si>
  <si>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</si>
  <si>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</si>
  <si>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</si>
  <si>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</si>
  <si>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</si>
  <si>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</si>
  <si>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09/02</t>
  </si>
  <si>
    <t>08/22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</si>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</sst>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31</v>
      </c>
      <c r="C2" s="21">
        <v>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252268.82</v>
      </c>
      <c r="G9" s="18">
        <v>179.85</v>
      </c>
      <c r="H9" s="18">
        <v>3721.44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60562.04</v>
      </c>
      <c r="G10" s="18"/>
      <c r="H10" s="18"/>
      <c r="I10" s="18"/>
      <c r="J10" s="67">
        <f>SUM(I439)</f>
        <v>624287.54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53236.11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85900.93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77219.23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366066.97</v>
      </c>
      <c r="G19" s="41">
        <f>SUM(G9:G18)</f>
        <v>86080.78</v>
      </c>
      <c r="H19" s="41">
        <f>SUM(H9:H18)</f>
        <v>80940.67</v>
      </c>
      <c r="I19" s="41">
        <f>SUM(I9:I18)</f>
        <v>0</v>
      </c>
      <c r="J19" s="41">
        <f>SUM(J9:J18)</f>
        <v>624287.54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-157053.79999999999</v>
      </c>
      <c r="G22" s="18">
        <v>38407.07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109935.39</v>
      </c>
      <c r="G24" s="18">
        <v>1660.2</v>
      </c>
      <c r="H24" s="18">
        <v>5602.33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280350.09000000003</v>
      </c>
      <c r="G28" s="18">
        <v>9777.74</v>
      </c>
      <c r="H28" s="18">
        <v>19279.21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17088.7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56059.13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250320.38000000006</v>
      </c>
      <c r="G32" s="41">
        <f>SUM(G22:G31)</f>
        <v>49845.009999999995</v>
      </c>
      <c r="H32" s="41">
        <f>SUM(H22:H31)</f>
        <v>80940.67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36235.769999999997</v>
      </c>
      <c r="H47" s="18"/>
      <c r="I47" s="18"/>
      <c r="J47" s="13">
        <f>SUM(I458)</f>
        <v>624287.54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115746.59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115746.59</v>
      </c>
      <c r="G50" s="41">
        <f>SUM(G35:G49)</f>
        <v>36235.769999999997</v>
      </c>
      <c r="H50" s="41">
        <f>SUM(H35:H49)</f>
        <v>0</v>
      </c>
      <c r="I50" s="41">
        <f>SUM(I35:I49)</f>
        <v>0</v>
      </c>
      <c r="J50" s="41">
        <f>SUM(J35:J49)</f>
        <v>624287.54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366066.97000000009</v>
      </c>
      <c r="G51" s="41">
        <f>G50+G32</f>
        <v>86080.78</v>
      </c>
      <c r="H51" s="41">
        <f>H50+H32</f>
        <v>80940.67</v>
      </c>
      <c r="I51" s="41">
        <f>I50+I32</f>
        <v>0</v>
      </c>
      <c r="J51" s="41">
        <f>J50+J32</f>
        <v>624287.54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6571511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6571511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28032.18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28032.18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268.7</v>
      </c>
      <c r="G95" s="18">
        <v>3.45</v>
      </c>
      <c r="H95" s="18"/>
      <c r="I95" s="18"/>
      <c r="J95" s="18">
        <v>1428.06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68135.03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19415.830000000002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19684.530000000002</v>
      </c>
      <c r="G110" s="41">
        <f>SUM(G95:G109)</f>
        <v>68138.48</v>
      </c>
      <c r="H110" s="41">
        <f>SUM(H95:H109)</f>
        <v>0</v>
      </c>
      <c r="I110" s="41">
        <f>SUM(I95:I109)</f>
        <v>0</v>
      </c>
      <c r="J110" s="41">
        <f>SUM(J95:J109)</f>
        <v>1428.06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6619227.71</v>
      </c>
      <c r="G111" s="41">
        <f>G59+G110</f>
        <v>68138.48</v>
      </c>
      <c r="H111" s="41">
        <f>H59+H78+H93+H110</f>
        <v>0</v>
      </c>
      <c r="I111" s="41">
        <f>I59+I110</f>
        <v>0</v>
      </c>
      <c r="J111" s="41">
        <f>J59+J110</f>
        <v>1428.06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2774972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1136050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3911022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194882.82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8286.5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62370.16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203169.32</v>
      </c>
      <c r="G135" s="41">
        <f>SUM(G122:G134)</f>
        <v>62370.16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4114191.32</v>
      </c>
      <c r="G139" s="41">
        <f>G120+SUM(G135:G136)</f>
        <v>62370.16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32100.27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32100.27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98496.9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13805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32273.48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150736.47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70795.850000000006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70795.850000000006</v>
      </c>
      <c r="G161" s="41">
        <f>SUM(G149:G160)</f>
        <v>32273.48</v>
      </c>
      <c r="H161" s="41">
        <f>SUM(H149:H160)</f>
        <v>263038.37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70795.850000000006</v>
      </c>
      <c r="G168" s="41">
        <f>G146+G161+SUM(G162:G167)</f>
        <v>32273.48</v>
      </c>
      <c r="H168" s="41">
        <f>H146+H161+SUM(H162:H167)</f>
        <v>295138.64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94190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94190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94190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10804214.879999999</v>
      </c>
      <c r="G192" s="47">
        <f>G111+G139+G168+G191</f>
        <v>162782.12</v>
      </c>
      <c r="H192" s="47">
        <f>H111+H139+H168+H191</f>
        <v>295138.64</v>
      </c>
      <c r="I192" s="47">
        <f>I111+I139+I168+I191</f>
        <v>0</v>
      </c>
      <c r="J192" s="47">
        <f>J111+J139+J191</f>
        <v>95618.06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1729502.74</v>
      </c>
      <c r="G196" s="18">
        <v>859146.34</v>
      </c>
      <c r="H196" s="18">
        <v>38968.660000000003</v>
      </c>
      <c r="I196" s="18">
        <v>96610.17</v>
      </c>
      <c r="J196" s="18">
        <v>9075.65</v>
      </c>
      <c r="K196" s="18">
        <v>2602.1</v>
      </c>
      <c r="L196" s="19">
        <f>SUM(F196:K196)</f>
        <v>2735905.66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807543.57</v>
      </c>
      <c r="G197" s="18">
        <v>340698.96</v>
      </c>
      <c r="H197" s="18">
        <v>110149.68</v>
      </c>
      <c r="I197" s="18">
        <v>4598.29</v>
      </c>
      <c r="J197" s="18">
        <v>9235.58</v>
      </c>
      <c r="K197" s="18"/>
      <c r="L197" s="19">
        <f>SUM(F197:K197)</f>
        <v>1272226.08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23300</v>
      </c>
      <c r="G199" s="18">
        <v>2606.46</v>
      </c>
      <c r="H199" s="18">
        <v>19395</v>
      </c>
      <c r="I199" s="18">
        <v>9977.16</v>
      </c>
      <c r="J199" s="18">
        <v>3593.73</v>
      </c>
      <c r="K199" s="18">
        <v>1110</v>
      </c>
      <c r="L199" s="19">
        <f>SUM(F199:K199)</f>
        <v>59982.35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324627.96999999997</v>
      </c>
      <c r="G201" s="18">
        <v>136448.62</v>
      </c>
      <c r="H201" s="18">
        <v>29528.880000000001</v>
      </c>
      <c r="I201" s="18">
        <v>4546.03</v>
      </c>
      <c r="J201" s="18">
        <v>449</v>
      </c>
      <c r="K201" s="18"/>
      <c r="L201" s="19">
        <f t="shared" ref="L201:L207" si="0">SUM(F201:K201)</f>
        <v>495600.5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85691</v>
      </c>
      <c r="G202" s="18">
        <v>62951.65</v>
      </c>
      <c r="H202" s="18">
        <v>26756.720000000001</v>
      </c>
      <c r="I202" s="18">
        <v>21059.119999999999</v>
      </c>
      <c r="J202" s="18">
        <v>35221.58</v>
      </c>
      <c r="K202" s="18">
        <v>100</v>
      </c>
      <c r="L202" s="19">
        <f t="shared" si="0"/>
        <v>231780.07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169288.5</v>
      </c>
      <c r="G203" s="18">
        <v>48997.85</v>
      </c>
      <c r="H203" s="18">
        <v>34213.480000000003</v>
      </c>
      <c r="I203" s="18">
        <v>37399.279999999999</v>
      </c>
      <c r="J203" s="18"/>
      <c r="K203" s="18">
        <v>6647.35</v>
      </c>
      <c r="L203" s="19">
        <f t="shared" si="0"/>
        <v>296546.45999999996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315766.26</v>
      </c>
      <c r="G204" s="18">
        <v>174843.25</v>
      </c>
      <c r="H204" s="18">
        <v>24195.29</v>
      </c>
      <c r="I204" s="18">
        <v>3780.5</v>
      </c>
      <c r="J204" s="18"/>
      <c r="K204" s="18">
        <v>2936.23</v>
      </c>
      <c r="L204" s="19">
        <f t="shared" si="0"/>
        <v>521521.52999999997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149107.99</v>
      </c>
      <c r="G206" s="18">
        <v>75921.600000000006</v>
      </c>
      <c r="H206" s="18">
        <v>188524.62</v>
      </c>
      <c r="I206" s="18">
        <v>135004.74</v>
      </c>
      <c r="J206" s="18"/>
      <c r="K206" s="18"/>
      <c r="L206" s="19">
        <f t="shared" si="0"/>
        <v>548558.94999999995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2856.96</v>
      </c>
      <c r="G207" s="18">
        <v>183.88</v>
      </c>
      <c r="H207" s="18">
        <v>307598.78000000003</v>
      </c>
      <c r="I207" s="18"/>
      <c r="J207" s="18"/>
      <c r="K207" s="18"/>
      <c r="L207" s="19">
        <f t="shared" si="0"/>
        <v>310639.62000000005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3607684.99</v>
      </c>
      <c r="G210" s="41">
        <f t="shared" si="1"/>
        <v>1701798.6099999999</v>
      </c>
      <c r="H210" s="41">
        <f t="shared" si="1"/>
        <v>779331.1100000001</v>
      </c>
      <c r="I210" s="41">
        <f t="shared" si="1"/>
        <v>312975.28999999998</v>
      </c>
      <c r="J210" s="41">
        <f t="shared" si="1"/>
        <v>57575.54</v>
      </c>
      <c r="K210" s="41">
        <f t="shared" si="1"/>
        <v>13395.68</v>
      </c>
      <c r="L210" s="41">
        <f t="shared" si="1"/>
        <v>6472761.2200000007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3177276.9</v>
      </c>
      <c r="I232" s="18"/>
      <c r="J232" s="18"/>
      <c r="K232" s="18"/>
      <c r="L232" s="19">
        <f>SUM(F232:K232)</f>
        <v>3177276.9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11432.8</v>
      </c>
      <c r="G233" s="18">
        <v>1693.95</v>
      </c>
      <c r="H233" s="18">
        <v>93087.72</v>
      </c>
      <c r="I233" s="18"/>
      <c r="J233" s="18"/>
      <c r="K233" s="18"/>
      <c r="L233" s="19">
        <f>SUM(F233:K233)</f>
        <v>106214.47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>
        <v>4488.91</v>
      </c>
      <c r="J242" s="18"/>
      <c r="K242" s="18"/>
      <c r="L242" s="19">
        <f t="shared" si="4"/>
        <v>4488.91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173562.94</v>
      </c>
      <c r="I243" s="18"/>
      <c r="J243" s="18"/>
      <c r="K243" s="18"/>
      <c r="L243" s="19">
        <f t="shared" si="4"/>
        <v>173562.94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11432.8</v>
      </c>
      <c r="G246" s="41">
        <f t="shared" si="5"/>
        <v>1693.95</v>
      </c>
      <c r="H246" s="41">
        <f t="shared" si="5"/>
        <v>3443927.56</v>
      </c>
      <c r="I246" s="41">
        <f t="shared" si="5"/>
        <v>4488.91</v>
      </c>
      <c r="J246" s="41">
        <f t="shared" si="5"/>
        <v>0</v>
      </c>
      <c r="K246" s="41">
        <f t="shared" si="5"/>
        <v>0</v>
      </c>
      <c r="L246" s="41">
        <f t="shared" si="5"/>
        <v>3461543.22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3619117.79</v>
      </c>
      <c r="G256" s="41">
        <f t="shared" si="8"/>
        <v>1703492.5599999998</v>
      </c>
      <c r="H256" s="41">
        <f t="shared" si="8"/>
        <v>4223258.67</v>
      </c>
      <c r="I256" s="41">
        <f t="shared" si="8"/>
        <v>317464.19999999995</v>
      </c>
      <c r="J256" s="41">
        <f t="shared" si="8"/>
        <v>57575.54</v>
      </c>
      <c r="K256" s="41">
        <f t="shared" si="8"/>
        <v>13395.68</v>
      </c>
      <c r="L256" s="41">
        <f t="shared" si="8"/>
        <v>9934304.4400000013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480000</v>
      </c>
      <c r="L259" s="19">
        <f>SUM(F259:K259)</f>
        <v>480000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204114</v>
      </c>
      <c r="L260" s="19">
        <f>SUM(F260:K260)</f>
        <v>204114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94190</v>
      </c>
      <c r="L265" s="19">
        <f t="shared" si="9"/>
        <v>94190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778304</v>
      </c>
      <c r="L269" s="41">
        <f t="shared" si="9"/>
        <v>778304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3619117.79</v>
      </c>
      <c r="G270" s="42">
        <f t="shared" si="11"/>
        <v>1703492.5599999998</v>
      </c>
      <c r="H270" s="42">
        <f t="shared" si="11"/>
        <v>4223258.67</v>
      </c>
      <c r="I270" s="42">
        <f t="shared" si="11"/>
        <v>317464.19999999995</v>
      </c>
      <c r="J270" s="42">
        <f t="shared" si="11"/>
        <v>57575.54</v>
      </c>
      <c r="K270" s="42">
        <f t="shared" si="11"/>
        <v>791699.68</v>
      </c>
      <c r="L270" s="42">
        <f t="shared" si="11"/>
        <v>10712608.440000001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98003.47</v>
      </c>
      <c r="G275" s="18">
        <v>26753.14</v>
      </c>
      <c r="H275" s="18"/>
      <c r="I275" s="18">
        <v>14910.14</v>
      </c>
      <c r="J275" s="18">
        <v>7242.65</v>
      </c>
      <c r="K275" s="18">
        <v>1742.75</v>
      </c>
      <c r="L275" s="19">
        <f>SUM(F275:K275)</f>
        <v>148652.15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700</v>
      </c>
      <c r="G276" s="18">
        <v>472.65</v>
      </c>
      <c r="H276" s="18">
        <v>5899.25</v>
      </c>
      <c r="I276" s="18">
        <v>11584.92</v>
      </c>
      <c r="J276" s="18">
        <v>19175.05</v>
      </c>
      <c r="K276" s="18"/>
      <c r="L276" s="19">
        <f>SUM(F276:K276)</f>
        <v>37831.869999999995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68689.48</v>
      </c>
      <c r="G280" s="18">
        <v>25262.89</v>
      </c>
      <c r="H280" s="18"/>
      <c r="I280" s="18">
        <v>897.25</v>
      </c>
      <c r="J280" s="18"/>
      <c r="K280" s="18"/>
      <c r="L280" s="19">
        <f t="shared" ref="L280:L286" si="12">SUM(F280:K280)</f>
        <v>94849.62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13805</v>
      </c>
      <c r="I281" s="18"/>
      <c r="J281" s="18"/>
      <c r="K281" s="18"/>
      <c r="L281" s="19">
        <f t="shared" si="12"/>
        <v>13805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167392.95000000001</v>
      </c>
      <c r="G289" s="42">
        <f t="shared" si="13"/>
        <v>52488.68</v>
      </c>
      <c r="H289" s="42">
        <f t="shared" si="13"/>
        <v>19704.25</v>
      </c>
      <c r="I289" s="42">
        <f t="shared" si="13"/>
        <v>27392.309999999998</v>
      </c>
      <c r="J289" s="42">
        <f t="shared" si="13"/>
        <v>26417.699999999997</v>
      </c>
      <c r="K289" s="42">
        <f t="shared" si="13"/>
        <v>1742.75</v>
      </c>
      <c r="L289" s="41">
        <f t="shared" si="13"/>
        <v>295138.64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167392.95000000001</v>
      </c>
      <c r="G337" s="41">
        <f t="shared" si="20"/>
        <v>52488.68</v>
      </c>
      <c r="H337" s="41">
        <f t="shared" si="20"/>
        <v>19704.25</v>
      </c>
      <c r="I337" s="41">
        <f t="shared" si="20"/>
        <v>27392.309999999998</v>
      </c>
      <c r="J337" s="41">
        <f t="shared" si="20"/>
        <v>26417.699999999997</v>
      </c>
      <c r="K337" s="41">
        <f t="shared" si="20"/>
        <v>1742.75</v>
      </c>
      <c r="L337" s="41">
        <f t="shared" si="20"/>
        <v>295138.64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167392.95000000001</v>
      </c>
      <c r="G351" s="41">
        <f>G337</f>
        <v>52488.68</v>
      </c>
      <c r="H351" s="41">
        <f>H337</f>
        <v>19704.25</v>
      </c>
      <c r="I351" s="41">
        <f>I337</f>
        <v>27392.309999999998</v>
      </c>
      <c r="J351" s="41">
        <f>J337</f>
        <v>26417.699999999997</v>
      </c>
      <c r="K351" s="47">
        <f>K337+K350</f>
        <v>1742.75</v>
      </c>
      <c r="L351" s="41">
        <f>L337+L350</f>
        <v>295138.64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63842.3</v>
      </c>
      <c r="G357" s="18">
        <v>9355.51</v>
      </c>
      <c r="H357" s="18">
        <v>1870.85</v>
      </c>
      <c r="I357" s="18">
        <v>77243.69</v>
      </c>
      <c r="J357" s="18"/>
      <c r="K357" s="18">
        <v>280.25</v>
      </c>
      <c r="L357" s="13">
        <f>SUM(F357:K357)</f>
        <v>152592.6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63842.3</v>
      </c>
      <c r="G361" s="47">
        <f t="shared" si="22"/>
        <v>9355.51</v>
      </c>
      <c r="H361" s="47">
        <f t="shared" si="22"/>
        <v>1870.85</v>
      </c>
      <c r="I361" s="47">
        <f t="shared" si="22"/>
        <v>77243.69</v>
      </c>
      <c r="J361" s="47">
        <f t="shared" si="22"/>
        <v>0</v>
      </c>
      <c r="K361" s="47">
        <f t="shared" si="22"/>
        <v>280.25</v>
      </c>
      <c r="L361" s="47">
        <f t="shared" si="22"/>
        <v>152592.6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70898.17</v>
      </c>
      <c r="G366" s="18"/>
      <c r="H366" s="18"/>
      <c r="I366" s="56">
        <f>SUM(F366:H366)</f>
        <v>70898.17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6345.52</v>
      </c>
      <c r="G367" s="63"/>
      <c r="H367" s="63"/>
      <c r="I367" s="56">
        <f>SUM(F367:H367)</f>
        <v>6345.52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77243.69</v>
      </c>
      <c r="G368" s="47">
        <f>SUM(G366:G367)</f>
        <v>0</v>
      </c>
      <c r="H368" s="47">
        <f>SUM(H366:H367)</f>
        <v>0</v>
      </c>
      <c r="I368" s="47">
        <f>SUM(I366:I367)</f>
        <v>77243.69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292.10000000000002</v>
      </c>
      <c r="I388" s="18"/>
      <c r="J388" s="24" t="s">
        <v>289</v>
      </c>
      <c r="K388" s="24" t="s">
        <v>289</v>
      </c>
      <c r="L388" s="56">
        <f t="shared" si="25"/>
        <v>292.10000000000002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292.10000000000002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292.10000000000002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40000</v>
      </c>
      <c r="H396" s="18">
        <v>1056.6199999999999</v>
      </c>
      <c r="I396" s="18"/>
      <c r="J396" s="24" t="s">
        <v>289</v>
      </c>
      <c r="K396" s="24" t="s">
        <v>289</v>
      </c>
      <c r="L396" s="56">
        <f t="shared" si="26"/>
        <v>41056.620000000003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14190</v>
      </c>
      <c r="H398" s="18">
        <v>9.67</v>
      </c>
      <c r="I398" s="18"/>
      <c r="J398" s="24" t="s">
        <v>289</v>
      </c>
      <c r="K398" s="24" t="s">
        <v>289</v>
      </c>
      <c r="L398" s="56">
        <f t="shared" si="26"/>
        <v>14199.67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40000</v>
      </c>
      <c r="H399" s="18">
        <v>69.67</v>
      </c>
      <c r="I399" s="18"/>
      <c r="J399" s="24" t="s">
        <v>289</v>
      </c>
      <c r="K399" s="24" t="s">
        <v>289</v>
      </c>
      <c r="L399" s="56">
        <f t="shared" si="26"/>
        <v>40069.67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94190</v>
      </c>
      <c r="H400" s="47">
        <f>SUM(H394:H399)</f>
        <v>1135.96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95325.959999999992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94190</v>
      </c>
      <c r="H407" s="47">
        <f>H392+H400+H406</f>
        <v>1428.06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95618.06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74075</v>
      </c>
      <c r="I414" s="18"/>
      <c r="J414" s="18"/>
      <c r="K414" s="18"/>
      <c r="L414" s="56">
        <f t="shared" si="27"/>
        <v>74075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74075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74075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52669.68</v>
      </c>
      <c r="I425" s="18"/>
      <c r="J425" s="18"/>
      <c r="K425" s="18"/>
      <c r="L425" s="56">
        <f t="shared" si="29"/>
        <v>52669.68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52669.68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52669.68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126744.68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126744.68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624287.54</v>
      </c>
      <c r="G439" s="18"/>
      <c r="H439" s="18"/>
      <c r="I439" s="56">
        <f t="shared" si="33"/>
        <v>624287.54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624287.54</v>
      </c>
      <c r="G445" s="13">
        <f>SUM(G438:G444)</f>
        <v>0</v>
      </c>
      <c r="H445" s="13">
        <f>SUM(H438:H444)</f>
        <v>0</v>
      </c>
      <c r="I445" s="13">
        <f>SUM(I438:I444)</f>
        <v>624287.54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624287.54</v>
      </c>
      <c r="G458" s="18"/>
      <c r="H458" s="18"/>
      <c r="I458" s="56">
        <f t="shared" si="34"/>
        <v>624287.54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624287.54</v>
      </c>
      <c r="G459" s="83">
        <f>SUM(G453:G458)</f>
        <v>0</v>
      </c>
      <c r="H459" s="83">
        <f>SUM(H453:H458)</f>
        <v>0</v>
      </c>
      <c r="I459" s="83">
        <f>SUM(I453:I458)</f>
        <v>624287.54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624287.54</v>
      </c>
      <c r="G460" s="42">
        <f>G451+G459</f>
        <v>0</v>
      </c>
      <c r="H460" s="42">
        <f>H451+H459</f>
        <v>0</v>
      </c>
      <c r="I460" s="42">
        <f>I451+I459</f>
        <v>624287.54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24140.15</v>
      </c>
      <c r="G464" s="18">
        <v>26046.25</v>
      </c>
      <c r="H464" s="18"/>
      <c r="I464" s="18"/>
      <c r="J464" s="18">
        <v>655414.16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10804214.880000001</v>
      </c>
      <c r="G467" s="18">
        <v>162782.12</v>
      </c>
      <c r="H467" s="18">
        <v>295138.64</v>
      </c>
      <c r="I467" s="18"/>
      <c r="J467" s="18">
        <v>95618.06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10804214.880000001</v>
      </c>
      <c r="G469" s="53">
        <f>SUM(G467:G468)</f>
        <v>162782.12</v>
      </c>
      <c r="H469" s="53">
        <f>SUM(H467:H468)</f>
        <v>295138.64</v>
      </c>
      <c r="I469" s="53">
        <f>SUM(I467:I468)</f>
        <v>0</v>
      </c>
      <c r="J469" s="53">
        <f>SUM(J467:J468)</f>
        <v>95618.06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10712608.439999999</v>
      </c>
      <c r="G471" s="18">
        <v>152592.6</v>
      </c>
      <c r="H471" s="18">
        <v>295138.64</v>
      </c>
      <c r="I471" s="18"/>
      <c r="J471" s="18">
        <v>126744.68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10712608.439999999</v>
      </c>
      <c r="G473" s="53">
        <f>SUM(G471:G472)</f>
        <v>152592.6</v>
      </c>
      <c r="H473" s="53">
        <f>SUM(H471:H472)</f>
        <v>295138.64</v>
      </c>
      <c r="I473" s="53">
        <f>SUM(I471:I472)</f>
        <v>0</v>
      </c>
      <c r="J473" s="53">
        <f>SUM(J471:J472)</f>
        <v>126744.68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115746.59000000171</v>
      </c>
      <c r="G475" s="53">
        <f>(G464+G469)- G473</f>
        <v>36235.76999999999</v>
      </c>
      <c r="H475" s="53">
        <f>(H464+H469)- H473</f>
        <v>0</v>
      </c>
      <c r="I475" s="53">
        <f>(I464+I469)- I473</f>
        <v>0</v>
      </c>
      <c r="J475" s="53">
        <f>(J464+J469)- J473</f>
        <v>624287.54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9633125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4800000</v>
      </c>
      <c r="G494" s="18"/>
      <c r="H494" s="18"/>
      <c r="I494" s="18"/>
      <c r="J494" s="18"/>
      <c r="K494" s="53">
        <f>SUM(F494:J494)</f>
        <v>4800000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480000</v>
      </c>
      <c r="G496" s="18"/>
      <c r="H496" s="18"/>
      <c r="I496" s="18"/>
      <c r="J496" s="18"/>
      <c r="K496" s="53">
        <f t="shared" si="35"/>
        <v>480000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4320000</v>
      </c>
      <c r="G497" s="204"/>
      <c r="H497" s="204"/>
      <c r="I497" s="204"/>
      <c r="J497" s="204"/>
      <c r="K497" s="205">
        <f t="shared" si="35"/>
        <v>4320000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1118679</v>
      </c>
      <c r="G498" s="18"/>
      <c r="H498" s="18"/>
      <c r="I498" s="18"/>
      <c r="J498" s="18"/>
      <c r="K498" s="53">
        <f t="shared" si="35"/>
        <v>1118679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5438679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5438679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480000</v>
      </c>
      <c r="G500" s="204"/>
      <c r="H500" s="204"/>
      <c r="I500" s="204"/>
      <c r="J500" s="204"/>
      <c r="K500" s="205">
        <f t="shared" si="35"/>
        <v>480000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184914</v>
      </c>
      <c r="G501" s="18"/>
      <c r="H501" s="18"/>
      <c r="I501" s="18"/>
      <c r="J501" s="18"/>
      <c r="K501" s="53">
        <f t="shared" si="35"/>
        <v>184914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664914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664914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807543.57+700</f>
        <v>808243.57</v>
      </c>
      <c r="G520" s="18">
        <f>354060.28+472.65</f>
        <v>354532.93000000005</v>
      </c>
      <c r="H520" s="18">
        <f>117048.28+5899.25</f>
        <v>122947.53</v>
      </c>
      <c r="I520" s="18">
        <f>4598.29+11584.92</f>
        <v>16183.21</v>
      </c>
      <c r="J520" s="18">
        <f>9235.58+19175.05</f>
        <v>28410.629999999997</v>
      </c>
      <c r="K520" s="18"/>
      <c r="L520" s="88">
        <f>SUM(F520:K520)</f>
        <v>1330317.8699999999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11432.8</v>
      </c>
      <c r="G522" s="18">
        <v>1693.95</v>
      </c>
      <c r="H522" s="18">
        <v>93087.72</v>
      </c>
      <c r="I522" s="18"/>
      <c r="J522" s="18"/>
      <c r="K522" s="18"/>
      <c r="L522" s="88">
        <f>SUM(F522:K522)</f>
        <v>106214.47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819676.37</v>
      </c>
      <c r="G523" s="108">
        <f t="shared" ref="G523:L523" si="36">SUM(G520:G522)</f>
        <v>356226.88000000006</v>
      </c>
      <c r="H523" s="108">
        <f t="shared" si="36"/>
        <v>216035.25</v>
      </c>
      <c r="I523" s="108">
        <f t="shared" si="36"/>
        <v>16183.21</v>
      </c>
      <c r="J523" s="108">
        <f t="shared" si="36"/>
        <v>28410.629999999997</v>
      </c>
      <c r="K523" s="108">
        <f t="shared" si="36"/>
        <v>0</v>
      </c>
      <c r="L523" s="89">
        <f t="shared" si="36"/>
        <v>1436532.3399999999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231789+68689.48</f>
        <v>300478.48</v>
      </c>
      <c r="G525" s="18">
        <f>94485.55+29339.59</f>
        <v>123825.14</v>
      </c>
      <c r="H525" s="18">
        <v>26732.13</v>
      </c>
      <c r="I525" s="18">
        <f>2477.34+897.25</f>
        <v>3374.59</v>
      </c>
      <c r="J525" s="18"/>
      <c r="K525" s="18"/>
      <c r="L525" s="88">
        <f>SUM(F525:K525)</f>
        <v>454410.34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300478.48</v>
      </c>
      <c r="G528" s="89">
        <f t="shared" ref="G528:L528" si="37">SUM(G525:G527)</f>
        <v>123825.14</v>
      </c>
      <c r="H528" s="89">
        <f t="shared" si="37"/>
        <v>26732.13</v>
      </c>
      <c r="I528" s="89">
        <f t="shared" si="37"/>
        <v>3374.59</v>
      </c>
      <c r="J528" s="89">
        <f t="shared" si="37"/>
        <v>0</v>
      </c>
      <c r="K528" s="89">
        <f t="shared" si="37"/>
        <v>0</v>
      </c>
      <c r="L528" s="89">
        <f t="shared" si="37"/>
        <v>454410.34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62500</v>
      </c>
      <c r="G530" s="18">
        <v>34791</v>
      </c>
      <c r="H530" s="18"/>
      <c r="I530" s="18"/>
      <c r="J530" s="18"/>
      <c r="K530" s="18"/>
      <c r="L530" s="88">
        <f>SUM(F530:K530)</f>
        <v>97291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62500</v>
      </c>
      <c r="G533" s="89">
        <f t="shared" ref="G533:L533" si="38">SUM(G530:G532)</f>
        <v>34791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97291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34618.449999999997</v>
      </c>
      <c r="I540" s="18"/>
      <c r="J540" s="18"/>
      <c r="K540" s="18"/>
      <c r="L540" s="88">
        <f>SUM(F540:K540)</f>
        <v>34618.449999999997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43918.57</v>
      </c>
      <c r="I542" s="18"/>
      <c r="J542" s="18"/>
      <c r="K542" s="18"/>
      <c r="L542" s="88">
        <f>SUM(F542:K542)</f>
        <v>43918.57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78537.01999999999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78537.01999999999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1182654.8500000001</v>
      </c>
      <c r="G544" s="89">
        <f t="shared" ref="G544:L544" si="41">G523+G528+G533+G538+G543</f>
        <v>514843.02000000008</v>
      </c>
      <c r="H544" s="89">
        <f t="shared" si="41"/>
        <v>321304.40000000002</v>
      </c>
      <c r="I544" s="89">
        <f t="shared" si="41"/>
        <v>19557.8</v>
      </c>
      <c r="J544" s="89">
        <f t="shared" si="41"/>
        <v>28410.629999999997</v>
      </c>
      <c r="K544" s="89">
        <f t="shared" si="41"/>
        <v>0</v>
      </c>
      <c r="L544" s="89">
        <f t="shared" si="41"/>
        <v>2066770.7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1330317.8699999999</v>
      </c>
      <c r="G548" s="87">
        <f>L525</f>
        <v>454410.34</v>
      </c>
      <c r="H548" s="87">
        <f>L530</f>
        <v>97291</v>
      </c>
      <c r="I548" s="87">
        <f>L535</f>
        <v>0</v>
      </c>
      <c r="J548" s="87">
        <f>L540</f>
        <v>34618.449999999997</v>
      </c>
      <c r="K548" s="87">
        <f>SUM(F548:J548)</f>
        <v>1916637.66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106214.47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43918.57</v>
      </c>
      <c r="K550" s="87">
        <f>SUM(F550:J550)</f>
        <v>150133.04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1436532.3399999999</v>
      </c>
      <c r="G551" s="89">
        <f t="shared" si="42"/>
        <v>454410.34</v>
      </c>
      <c r="H551" s="89">
        <f t="shared" si="42"/>
        <v>97291</v>
      </c>
      <c r="I551" s="89">
        <f t="shared" si="42"/>
        <v>0</v>
      </c>
      <c r="J551" s="89">
        <f t="shared" si="42"/>
        <v>78537.01999999999</v>
      </c>
      <c r="K551" s="89">
        <f t="shared" si="42"/>
        <v>2066770.7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2912</v>
      </c>
      <c r="G561" s="18">
        <v>206.5</v>
      </c>
      <c r="H561" s="18">
        <v>15081.04</v>
      </c>
      <c r="I561" s="18">
        <v>304.45</v>
      </c>
      <c r="J561" s="18"/>
      <c r="K561" s="18"/>
      <c r="L561" s="88">
        <f>SUM(F561:K561)</f>
        <v>18503.990000000002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2912</v>
      </c>
      <c r="G564" s="89">
        <f t="shared" si="44"/>
        <v>206.5</v>
      </c>
      <c r="H564" s="89">
        <f t="shared" si="44"/>
        <v>15081.04</v>
      </c>
      <c r="I564" s="89">
        <f t="shared" si="44"/>
        <v>304.45</v>
      </c>
      <c r="J564" s="89">
        <f t="shared" si="44"/>
        <v>0</v>
      </c>
      <c r="K564" s="89">
        <f t="shared" si="44"/>
        <v>0</v>
      </c>
      <c r="L564" s="89">
        <f t="shared" si="44"/>
        <v>18503.990000000002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2912</v>
      </c>
      <c r="G570" s="89">
        <f t="shared" ref="G570:L570" si="46">G559+G564+G569</f>
        <v>206.5</v>
      </c>
      <c r="H570" s="89">
        <f t="shared" si="46"/>
        <v>15081.04</v>
      </c>
      <c r="I570" s="89">
        <f t="shared" si="46"/>
        <v>304.45</v>
      </c>
      <c r="J570" s="89">
        <f t="shared" si="46"/>
        <v>0</v>
      </c>
      <c r="K570" s="89">
        <f t="shared" si="46"/>
        <v>0</v>
      </c>
      <c r="L570" s="89">
        <f t="shared" si="46"/>
        <v>18503.990000000002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3177276.9</v>
      </c>
      <c r="I576" s="87">
        <f t="shared" si="47"/>
        <v>3177276.9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411.08</v>
      </c>
      <c r="G578" s="18"/>
      <c r="H578" s="18">
        <v>2476.2399999999998</v>
      </c>
      <c r="I578" s="87">
        <f t="shared" si="47"/>
        <v>2887.3199999999997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51020.1</v>
      </c>
      <c r="G581" s="18"/>
      <c r="H581" s="18">
        <v>91505.72</v>
      </c>
      <c r="I581" s="87">
        <f t="shared" si="47"/>
        <v>142525.82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260637.2</v>
      </c>
      <c r="I590" s="18"/>
      <c r="J590" s="18">
        <v>129644.37</v>
      </c>
      <c r="K590" s="104">
        <f t="shared" ref="K590:K596" si="48">SUM(H590:J590)</f>
        <v>390281.57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34618.449999999997</v>
      </c>
      <c r="I591" s="18"/>
      <c r="J591" s="18">
        <v>43918.57</v>
      </c>
      <c r="K591" s="104">
        <f t="shared" si="48"/>
        <v>78537.01999999999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8663.1299999999992</v>
      </c>
      <c r="I593" s="18"/>
      <c r="J593" s="18"/>
      <c r="K593" s="104">
        <f t="shared" si="48"/>
        <v>8663.1299999999992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3680</v>
      </c>
      <c r="I594" s="18"/>
      <c r="J594" s="18"/>
      <c r="K594" s="104">
        <f t="shared" si="48"/>
        <v>3680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3040.84</v>
      </c>
      <c r="I596" s="18"/>
      <c r="J596" s="18"/>
      <c r="K596" s="104">
        <f t="shared" si="48"/>
        <v>3040.84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310639.62000000005</v>
      </c>
      <c r="I597" s="108">
        <f>SUM(I590:I596)</f>
        <v>0</v>
      </c>
      <c r="J597" s="108">
        <f>SUM(J590:J596)</f>
        <v>173562.94</v>
      </c>
      <c r="K597" s="108">
        <f>SUM(K590:K596)</f>
        <v>484202.56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83993.24</v>
      </c>
      <c r="I603" s="18"/>
      <c r="J603" s="18"/>
      <c r="K603" s="104">
        <f>SUM(H603:J603)</f>
        <v>83993.24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83993.24</v>
      </c>
      <c r="I604" s="108">
        <f>SUM(I601:I603)</f>
        <v>0</v>
      </c>
      <c r="J604" s="108">
        <f>SUM(J601:J603)</f>
        <v>0</v>
      </c>
      <c r="K604" s="108">
        <f>SUM(K601:K603)</f>
        <v>83993.24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366066.97</v>
      </c>
      <c r="H616" s="109">
        <f>SUM(F51)</f>
        <v>366066.97000000009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86080.78</v>
      </c>
      <c r="H617" s="109">
        <f>SUM(G51)</f>
        <v>86080.78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80940.67</v>
      </c>
      <c r="H618" s="109">
        <f>SUM(H51)</f>
        <v>80940.67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624287.54</v>
      </c>
      <c r="H620" s="109">
        <f>SUM(J51)</f>
        <v>624287.54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115746.59</v>
      </c>
      <c r="H621" s="109">
        <f>F475</f>
        <v>115746.59000000171</v>
      </c>
      <c r="I621" s="121" t="s">
        <v>101</v>
      </c>
      <c r="J621" s="109">
        <f t="shared" ref="J621:J654" si="50">G621-H621</f>
        <v>-1.7171259969472885E-9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36235.769999999997</v>
      </c>
      <c r="H622" s="109">
        <f>G475</f>
        <v>36235.76999999999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624287.54</v>
      </c>
      <c r="H625" s="109">
        <f>J475</f>
        <v>624287.54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10804214.879999999</v>
      </c>
      <c r="H626" s="104">
        <f>SUM(F467)</f>
        <v>10804214.880000001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162782.12</v>
      </c>
      <c r="H627" s="104">
        <f>SUM(G467)</f>
        <v>162782.12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295138.64</v>
      </c>
      <c r="H628" s="104">
        <f>SUM(H467)</f>
        <v>295138.64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95618.06</v>
      </c>
      <c r="H630" s="104">
        <f>SUM(J467)</f>
        <v>95618.06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10712608.440000001</v>
      </c>
      <c r="H631" s="104">
        <f>SUM(F471)</f>
        <v>10712608.439999999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295138.64</v>
      </c>
      <c r="H632" s="104">
        <f>SUM(H471)</f>
        <v>295138.64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77243.69</v>
      </c>
      <c r="H633" s="104">
        <f>I368</f>
        <v>77243.69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152592.6</v>
      </c>
      <c r="H634" s="104">
        <f>SUM(G471)</f>
        <v>152592.6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95618.06</v>
      </c>
      <c r="H636" s="164">
        <f>SUM(J467)</f>
        <v>95618.06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126744.68</v>
      </c>
      <c r="H637" s="164">
        <f>SUM(J471)</f>
        <v>126744.68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624287.54</v>
      </c>
      <c r="H638" s="104">
        <f>SUM(F460)</f>
        <v>624287.54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624287.54</v>
      </c>
      <c r="H641" s="104">
        <f>SUM(I460)</f>
        <v>624287.54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1428.06</v>
      </c>
      <c r="H643" s="104">
        <f>H407</f>
        <v>1428.06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94190</v>
      </c>
      <c r="H644" s="104">
        <f>G407</f>
        <v>94190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95618.06</v>
      </c>
      <c r="H645" s="104">
        <f>L407</f>
        <v>95618.06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484202.56</v>
      </c>
      <c r="H646" s="104">
        <f>L207+L225+L243</f>
        <v>484202.56000000006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83993.24</v>
      </c>
      <c r="H647" s="104">
        <f>(J256+J337)-(J254+J335)</f>
        <v>83993.239999999991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310639.62000000005</v>
      </c>
      <c r="H648" s="104">
        <f>H597</f>
        <v>310639.62000000005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173562.94</v>
      </c>
      <c r="H650" s="104">
        <f>J597</f>
        <v>173562.94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94190</v>
      </c>
      <c r="H654" s="104">
        <f>K265+K346</f>
        <v>94190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6920492.46</v>
      </c>
      <c r="G659" s="19">
        <f>(L228+L308+L358)</f>
        <v>0</v>
      </c>
      <c r="H659" s="19">
        <f>(L246+L327+L359)</f>
        <v>3461543.22</v>
      </c>
      <c r="I659" s="19">
        <f>SUM(F659:H659)</f>
        <v>10382035.68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68135.03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68135.03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310639.62000000005</v>
      </c>
      <c r="G661" s="19">
        <f>(L225+L305)-(J225+J305)</f>
        <v>0</v>
      </c>
      <c r="H661" s="19">
        <f>(L243+L324)-(J243+J324)</f>
        <v>173562.94</v>
      </c>
      <c r="I661" s="19">
        <f>SUM(F661:H661)</f>
        <v>484202.56000000006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135424.42000000001</v>
      </c>
      <c r="G662" s="199">
        <f>SUM(G574:G586)+SUM(I601:I603)+L611</f>
        <v>0</v>
      </c>
      <c r="H662" s="199">
        <f>SUM(H574:H586)+SUM(J601:J603)+L612</f>
        <v>3271258.8600000003</v>
      </c>
      <c r="I662" s="19">
        <f>SUM(F662:H662)</f>
        <v>3406683.2800000003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6406293.3899999997</v>
      </c>
      <c r="G663" s="19">
        <f>G659-SUM(G660:G662)</f>
        <v>0</v>
      </c>
      <c r="H663" s="19">
        <f>H659-SUM(H660:H662)</f>
        <v>16721.419999999925</v>
      </c>
      <c r="I663" s="19">
        <f>I659-SUM(I660:I662)</f>
        <v>6423014.8099999996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488.09</v>
      </c>
      <c r="G664" s="248"/>
      <c r="H664" s="248"/>
      <c r="I664" s="19">
        <f>SUM(F664:H664)</f>
        <v>488.09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13125.23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13159.49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-16721.419999999998</v>
      </c>
      <c r="I668" s="19">
        <f>SUM(F668:H668)</f>
        <v>-16721.419999999998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13125.23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13125.23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Barnstead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1827506.21</v>
      </c>
      <c r="C9" s="229">
        <f>'DOE25'!G196+'DOE25'!G214+'DOE25'!G232+'DOE25'!G275+'DOE25'!G294+'DOE25'!G313</f>
        <v>885899.48</v>
      </c>
    </row>
    <row r="10" spans="1:3" x14ac:dyDescent="0.2">
      <c r="A10" t="s">
        <v>779</v>
      </c>
      <c r="B10" s="240">
        <v>1715476.81</v>
      </c>
      <c r="C10" s="240">
        <v>771706</v>
      </c>
    </row>
    <row r="11" spans="1:3" x14ac:dyDescent="0.2">
      <c r="A11" t="s">
        <v>780</v>
      </c>
      <c r="B11" s="240">
        <v>39801.599999999999</v>
      </c>
      <c r="C11" s="240">
        <v>108668.05</v>
      </c>
    </row>
    <row r="12" spans="1:3" x14ac:dyDescent="0.2">
      <c r="A12" t="s">
        <v>781</v>
      </c>
      <c r="B12" s="240">
        <v>72227.8</v>
      </c>
      <c r="C12" s="240">
        <v>5525.43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1827506.2100000002</v>
      </c>
      <c r="C13" s="231">
        <f>SUM(C10:C12)</f>
        <v>885899.4800000001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819676.37</v>
      </c>
      <c r="C18" s="229">
        <f>'DOE25'!G197+'DOE25'!G215+'DOE25'!G233+'DOE25'!G276+'DOE25'!G295+'DOE25'!G314</f>
        <v>342865.56000000006</v>
      </c>
    </row>
    <row r="19" spans="1:3" x14ac:dyDescent="0.2">
      <c r="A19" t="s">
        <v>779</v>
      </c>
      <c r="B19" s="240">
        <v>318908.02</v>
      </c>
      <c r="C19" s="240">
        <v>125344</v>
      </c>
    </row>
    <row r="20" spans="1:3" x14ac:dyDescent="0.2">
      <c r="A20" t="s">
        <v>780</v>
      </c>
      <c r="B20" s="240">
        <v>469398.36</v>
      </c>
      <c r="C20" s="240">
        <v>215121.76</v>
      </c>
    </row>
    <row r="21" spans="1:3" x14ac:dyDescent="0.2">
      <c r="A21" t="s">
        <v>781</v>
      </c>
      <c r="B21" s="240">
        <v>31369.99</v>
      </c>
      <c r="C21" s="240">
        <v>2399.8000000000002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819676.37</v>
      </c>
      <c r="C22" s="231">
        <f>SUM(C19:C21)</f>
        <v>342865.56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23300</v>
      </c>
      <c r="C36" s="235">
        <f>'DOE25'!G199+'DOE25'!G217+'DOE25'!G235+'DOE25'!G278+'DOE25'!G297+'DOE25'!G316</f>
        <v>2606.46</v>
      </c>
    </row>
    <row r="37" spans="1:3" x14ac:dyDescent="0.2">
      <c r="A37" t="s">
        <v>779</v>
      </c>
      <c r="B37" s="240">
        <v>15775</v>
      </c>
      <c r="C37" s="240">
        <v>2030.8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7525</v>
      </c>
      <c r="C39" s="240">
        <v>575.66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23300</v>
      </c>
      <c r="C40" s="231">
        <f>SUM(C37:C39)</f>
        <v>2606.46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Barnstead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7351605.4600000009</v>
      </c>
      <c r="D5" s="20">
        <f>SUM('DOE25'!L196:L199)+SUM('DOE25'!L214:L217)+SUM('DOE25'!L232:L235)-F5-G5</f>
        <v>7325988.4000000013</v>
      </c>
      <c r="E5" s="243"/>
      <c r="F5" s="255">
        <f>SUM('DOE25'!J196:J199)+SUM('DOE25'!J214:J217)+SUM('DOE25'!J232:J235)</f>
        <v>21904.959999999999</v>
      </c>
      <c r="G5" s="53">
        <f>SUM('DOE25'!K196:K199)+SUM('DOE25'!K214:K217)+SUM('DOE25'!K232:K235)</f>
        <v>3712.1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495600.5</v>
      </c>
      <c r="D6" s="20">
        <f>'DOE25'!L201+'DOE25'!L219+'DOE25'!L237-F6-G6</f>
        <v>495151.5</v>
      </c>
      <c r="E6" s="243"/>
      <c r="F6" s="255">
        <f>'DOE25'!J201+'DOE25'!J219+'DOE25'!J237</f>
        <v>449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231780.07</v>
      </c>
      <c r="D7" s="20">
        <f>'DOE25'!L202+'DOE25'!L220+'DOE25'!L238-F7-G7</f>
        <v>196458.49</v>
      </c>
      <c r="E7" s="243"/>
      <c r="F7" s="255">
        <f>'DOE25'!J202+'DOE25'!J220+'DOE25'!J238</f>
        <v>35221.58</v>
      </c>
      <c r="G7" s="53">
        <f>'DOE25'!K202+'DOE25'!K220+'DOE25'!K238</f>
        <v>100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296546.45999999996</v>
      </c>
      <c r="D8" s="243"/>
      <c r="E8" s="20">
        <f>'DOE25'!L203+'DOE25'!L221+'DOE25'!L239-F8-G8-D9-D11</f>
        <v>289899.11</v>
      </c>
      <c r="F8" s="255">
        <f>'DOE25'!J203+'DOE25'!J221+'DOE25'!J239</f>
        <v>0</v>
      </c>
      <c r="G8" s="53">
        <f>'DOE25'!K203+'DOE25'!K221+'DOE25'!K239</f>
        <v>6647.35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521521.52999999997</v>
      </c>
      <c r="D12" s="20">
        <f>'DOE25'!L204+'DOE25'!L222+'DOE25'!L240-F12-G12</f>
        <v>518585.3</v>
      </c>
      <c r="E12" s="243"/>
      <c r="F12" s="255">
        <f>'DOE25'!J204+'DOE25'!J222+'DOE25'!J240</f>
        <v>0</v>
      </c>
      <c r="G12" s="53">
        <f>'DOE25'!K204+'DOE25'!K222+'DOE25'!K240</f>
        <v>2936.23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553047.86</v>
      </c>
      <c r="D14" s="20">
        <f>'DOE25'!L206+'DOE25'!L224+'DOE25'!L242-F14-G14</f>
        <v>553047.86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484202.56000000006</v>
      </c>
      <c r="D15" s="20">
        <f>'DOE25'!L207+'DOE25'!L225+'DOE25'!L243-F15-G15</f>
        <v>484202.56000000006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684114</v>
      </c>
      <c r="D25" s="243"/>
      <c r="E25" s="243"/>
      <c r="F25" s="258"/>
      <c r="G25" s="256"/>
      <c r="H25" s="257">
        <f>'DOE25'!L259+'DOE25'!L260+'DOE25'!L340+'DOE25'!L341</f>
        <v>684114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81694.430000000008</v>
      </c>
      <c r="D29" s="20">
        <f>'DOE25'!L357+'DOE25'!L358+'DOE25'!L359-'DOE25'!I366-F29-G29</f>
        <v>81414.180000000008</v>
      </c>
      <c r="E29" s="243"/>
      <c r="F29" s="255">
        <f>'DOE25'!J357+'DOE25'!J358+'DOE25'!J359</f>
        <v>0</v>
      </c>
      <c r="G29" s="53">
        <f>'DOE25'!K357+'DOE25'!K358+'DOE25'!K359</f>
        <v>280.25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295138.64</v>
      </c>
      <c r="D31" s="20">
        <f>'DOE25'!L289+'DOE25'!L308+'DOE25'!L327+'DOE25'!L332+'DOE25'!L333+'DOE25'!L334-F31-G31</f>
        <v>266978.19</v>
      </c>
      <c r="E31" s="243"/>
      <c r="F31" s="255">
        <f>'DOE25'!J289+'DOE25'!J308+'DOE25'!J327+'DOE25'!J332+'DOE25'!J333+'DOE25'!J334</f>
        <v>26417.699999999997</v>
      </c>
      <c r="G31" s="53">
        <f>'DOE25'!K289+'DOE25'!K308+'DOE25'!K327+'DOE25'!K332+'DOE25'!K333+'DOE25'!K334</f>
        <v>1742.75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9921826.4800000004</v>
      </c>
      <c r="E33" s="246">
        <f>SUM(E5:E31)</f>
        <v>289899.11</v>
      </c>
      <c r="F33" s="246">
        <f>SUM(F5:F31)</f>
        <v>83993.239999999991</v>
      </c>
      <c r="G33" s="246">
        <f>SUM(G5:G31)</f>
        <v>15418.68</v>
      </c>
      <c r="H33" s="246">
        <f>SUM(H5:H31)</f>
        <v>684114</v>
      </c>
    </row>
    <row r="35" spans="2:8" ht="12" thickBot="1" x14ac:dyDescent="0.25">
      <c r="B35" s="253" t="s">
        <v>847</v>
      </c>
      <c r="D35" s="254">
        <f>E33</f>
        <v>289899.11</v>
      </c>
      <c r="E35" s="249"/>
    </row>
    <row r="36" spans="2:8" ht="12" thickTop="1" x14ac:dyDescent="0.2">
      <c r="B36" t="s">
        <v>815</v>
      </c>
      <c r="D36" s="20">
        <f>D33</f>
        <v>9921826.4800000004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252268.82</v>
      </c>
      <c r="D8" s="95">
        <f>'DOE25'!G9</f>
        <v>179.85</v>
      </c>
      <c r="E8" s="95">
        <f>'DOE25'!H9</f>
        <v>3721.44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60562.04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624287.54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53236.11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85900.93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77219.23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366066.97</v>
      </c>
      <c r="D18" s="41">
        <f>SUM(D8:D17)</f>
        <v>86080.78</v>
      </c>
      <c r="E18" s="41">
        <f>SUM(E8:E17)</f>
        <v>80940.67</v>
      </c>
      <c r="F18" s="41">
        <f>SUM(F8:F17)</f>
        <v>0</v>
      </c>
      <c r="G18" s="41">
        <f>SUM(G8:G17)</f>
        <v>624287.54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-157053.79999999999</v>
      </c>
      <c r="D21" s="95">
        <f>'DOE25'!G22</f>
        <v>38407.07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109935.39</v>
      </c>
      <c r="D23" s="95">
        <f>'DOE25'!G24</f>
        <v>1660.2</v>
      </c>
      <c r="E23" s="95">
        <f>'DOE25'!H24</f>
        <v>5602.33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280350.09000000003</v>
      </c>
      <c r="D27" s="95">
        <f>'DOE25'!G28</f>
        <v>9777.74</v>
      </c>
      <c r="E27" s="95">
        <f>'DOE25'!H28</f>
        <v>19279.21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17088.7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56059.13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250320.38000000006</v>
      </c>
      <c r="D31" s="41">
        <f>SUM(D21:D30)</f>
        <v>49845.009999999995</v>
      </c>
      <c r="E31" s="41">
        <f>SUM(E21:E30)</f>
        <v>80940.67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36235.769999999997</v>
      </c>
      <c r="E46" s="95">
        <f>'DOE25'!H47</f>
        <v>0</v>
      </c>
      <c r="F46" s="95">
        <f>'DOE25'!I47</f>
        <v>0</v>
      </c>
      <c r="G46" s="95">
        <f>'DOE25'!J47</f>
        <v>624287.54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115746.59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115746.59</v>
      </c>
      <c r="D49" s="41">
        <f>SUM(D34:D48)</f>
        <v>36235.769999999997</v>
      </c>
      <c r="E49" s="41">
        <f>SUM(E34:E48)</f>
        <v>0</v>
      </c>
      <c r="F49" s="41">
        <f>SUM(F34:F48)</f>
        <v>0</v>
      </c>
      <c r="G49" s="41">
        <f>SUM(G34:G48)</f>
        <v>624287.54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366066.97000000009</v>
      </c>
      <c r="D50" s="41">
        <f>D49+D31</f>
        <v>86080.78</v>
      </c>
      <c r="E50" s="41">
        <f>E49+E31</f>
        <v>80940.67</v>
      </c>
      <c r="F50" s="41">
        <f>F49+F31</f>
        <v>0</v>
      </c>
      <c r="G50" s="41">
        <f>G49+G31</f>
        <v>624287.54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6571511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28032.18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268.7</v>
      </c>
      <c r="D58" s="95">
        <f>'DOE25'!G95</f>
        <v>3.45</v>
      </c>
      <c r="E58" s="95">
        <f>'DOE25'!H95</f>
        <v>0</v>
      </c>
      <c r="F58" s="95">
        <f>'DOE25'!I95</f>
        <v>0</v>
      </c>
      <c r="G58" s="95">
        <f>'DOE25'!J95</f>
        <v>1428.06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68135.03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19415.830000000002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47716.710000000006</v>
      </c>
      <c r="D61" s="130">
        <f>SUM(D56:D60)</f>
        <v>68138.48</v>
      </c>
      <c r="E61" s="130">
        <f>SUM(E56:E60)</f>
        <v>0</v>
      </c>
      <c r="F61" s="130">
        <f>SUM(F56:F60)</f>
        <v>0</v>
      </c>
      <c r="G61" s="130">
        <f>SUM(G56:G60)</f>
        <v>1428.06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6619227.71</v>
      </c>
      <c r="D62" s="22">
        <f>D55+D61</f>
        <v>68138.48</v>
      </c>
      <c r="E62" s="22">
        <f>E55+E61</f>
        <v>0</v>
      </c>
      <c r="F62" s="22">
        <f>F55+F61</f>
        <v>0</v>
      </c>
      <c r="G62" s="22">
        <f>G55+G61</f>
        <v>1428.06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2774972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1136050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3911022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194882.82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8286.5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62370.16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203169.32</v>
      </c>
      <c r="D77" s="130">
        <f>SUM(D71:D76)</f>
        <v>62370.16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4114191.32</v>
      </c>
      <c r="D80" s="130">
        <f>SUM(D78:D79)+D77+D69</f>
        <v>62370.16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32100.27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70795.850000000006</v>
      </c>
      <c r="D87" s="95">
        <f>SUM('DOE25'!G152:G160)</f>
        <v>32273.48</v>
      </c>
      <c r="E87" s="95">
        <f>SUM('DOE25'!H152:H160)</f>
        <v>263038.37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70795.850000000006</v>
      </c>
      <c r="D90" s="131">
        <f>SUM(D84:D89)</f>
        <v>32273.48</v>
      </c>
      <c r="E90" s="131">
        <f>SUM(E84:E89)</f>
        <v>295138.64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94190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94190</v>
      </c>
    </row>
    <row r="103" spans="1:7" ht="12.75" thickTop="1" thickBot="1" x14ac:dyDescent="0.25">
      <c r="A103" s="33" t="s">
        <v>765</v>
      </c>
      <c r="C103" s="86">
        <f>C62+C80+C90+C102</f>
        <v>10804214.879999999</v>
      </c>
      <c r="D103" s="86">
        <f>D62+D80+D90+D102</f>
        <v>162782.12</v>
      </c>
      <c r="E103" s="86">
        <f>E62+E80+E90+E102</f>
        <v>295138.64</v>
      </c>
      <c r="F103" s="86">
        <f>F62+F80+F90+F102</f>
        <v>0</v>
      </c>
      <c r="G103" s="86">
        <f>G62+G80+G102</f>
        <v>95618.06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5913182.5600000005</v>
      </c>
      <c r="D108" s="24" t="s">
        <v>289</v>
      </c>
      <c r="E108" s="95">
        <f>('DOE25'!L275)+('DOE25'!L294)+('DOE25'!L313)</f>
        <v>148652.15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1378440.55</v>
      </c>
      <c r="D109" s="24" t="s">
        <v>289</v>
      </c>
      <c r="E109" s="95">
        <f>('DOE25'!L276)+('DOE25'!L295)+('DOE25'!L314)</f>
        <v>37831.869999999995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59982.35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7351605.46</v>
      </c>
      <c r="D114" s="86">
        <f>SUM(D108:D113)</f>
        <v>0</v>
      </c>
      <c r="E114" s="86">
        <f>SUM(E108:E113)</f>
        <v>186484.02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495600.5</v>
      </c>
      <c r="D117" s="24" t="s">
        <v>289</v>
      </c>
      <c r="E117" s="95">
        <f>+('DOE25'!L280)+('DOE25'!L299)+('DOE25'!L318)</f>
        <v>94849.62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231780.07</v>
      </c>
      <c r="D118" s="24" t="s">
        <v>289</v>
      </c>
      <c r="E118" s="95">
        <f>+('DOE25'!L281)+('DOE25'!L300)+('DOE25'!L319)</f>
        <v>13805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296546.45999999996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521521.52999999997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553047.86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484202.56000000006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152592.6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2582698.98</v>
      </c>
      <c r="D127" s="86">
        <f>SUM(D117:D126)</f>
        <v>152592.6</v>
      </c>
      <c r="E127" s="86">
        <f>SUM(E117:E126)</f>
        <v>108654.62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204114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292.10000000000002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95325.959999999992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-1428.0599999999977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778304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10712608.439999999</v>
      </c>
      <c r="D144" s="86">
        <f>(D114+D127+D143)</f>
        <v>152592.6</v>
      </c>
      <c r="E144" s="86">
        <f>(E114+E127+E143)</f>
        <v>295138.64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09/02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9633125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4800000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4800000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480000</v>
      </c>
    </row>
    <row r="158" spans="1:9" x14ac:dyDescent="0.2">
      <c r="A158" s="22" t="s">
        <v>35</v>
      </c>
      <c r="B158" s="137">
        <f>'DOE25'!F497</f>
        <v>4320000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4320000</v>
      </c>
    </row>
    <row r="159" spans="1:9" x14ac:dyDescent="0.2">
      <c r="A159" s="22" t="s">
        <v>36</v>
      </c>
      <c r="B159" s="137">
        <f>'DOE25'!F498</f>
        <v>1118679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1118679</v>
      </c>
    </row>
    <row r="160" spans="1:9" x14ac:dyDescent="0.2">
      <c r="A160" s="22" t="s">
        <v>37</v>
      </c>
      <c r="B160" s="137">
        <f>'DOE25'!F499</f>
        <v>5438679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5438679</v>
      </c>
    </row>
    <row r="161" spans="1:7" x14ac:dyDescent="0.2">
      <c r="A161" s="22" t="s">
        <v>38</v>
      </c>
      <c r="B161" s="137">
        <f>'DOE25'!F500</f>
        <v>480000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480000</v>
      </c>
    </row>
    <row r="162" spans="1:7" x14ac:dyDescent="0.2">
      <c r="A162" s="22" t="s">
        <v>39</v>
      </c>
      <c r="B162" s="137">
        <f>'DOE25'!F501</f>
        <v>184914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184914</v>
      </c>
    </row>
    <row r="163" spans="1:7" x14ac:dyDescent="0.2">
      <c r="A163" s="22" t="s">
        <v>246</v>
      </c>
      <c r="B163" s="137">
        <f>'DOE25'!F502</f>
        <v>664914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664914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Barnstead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13125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13125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6061835</v>
      </c>
      <c r="D10" s="182">
        <f>ROUND((C10/$C$28)*100,1)</f>
        <v>57.6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1416272</v>
      </c>
      <c r="D11" s="182">
        <f>ROUND((C11/$C$28)*100,1)</f>
        <v>13.5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59982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590450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245585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296546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521522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553048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484203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204114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84457.97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10518014.970000001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10518014.970000001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480000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6571511</v>
      </c>
      <c r="D35" s="182">
        <f t="shared" ref="D35:D40" si="1">ROUND((C35/$C$41)*100,1)</f>
        <v>58.7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49148.219999999739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3911022</v>
      </c>
      <c r="D37" s="182">
        <f t="shared" si="1"/>
        <v>34.9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265539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398208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11195428.219999999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Barnstead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2013-11-06T16:10:43Z</cp:lastPrinted>
  <dcterms:created xsi:type="dcterms:W3CDTF">1997-12-04T19:04:30Z</dcterms:created>
  <dcterms:modified xsi:type="dcterms:W3CDTF">2013-11-06T16:11:04Z</dcterms:modified>
</cp:coreProperties>
</file>