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/>
  <workbookProtection workbookPassword="BB0A" lockStructure="1"/>
  <bookViews>
    <workbookView xWindow="180" yWindow="105" windowWidth="26655" windowHeight="15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71" i="1" l="1"/>
  <c r="J471" i="1"/>
  <c r="F49" i="1"/>
  <c r="F9" i="1"/>
  <c r="F187" i="1"/>
  <c r="F176" i="1"/>
  <c r="F182" i="1"/>
  <c r="F191" i="1"/>
  <c r="F59" i="1"/>
  <c r="F78" i="1"/>
  <c r="F93" i="1"/>
  <c r="F110" i="1"/>
  <c r="F111" i="1"/>
  <c r="F120" i="1"/>
  <c r="F135" i="1"/>
  <c r="F139" i="1"/>
  <c r="F146" i="1"/>
  <c r="F161" i="1"/>
  <c r="F168" i="1"/>
  <c r="F192" i="1"/>
  <c r="F467" i="1"/>
  <c r="J467" i="1"/>
  <c r="F44" i="1"/>
  <c r="F214" i="1"/>
  <c r="G214" i="1"/>
  <c r="G196" i="1"/>
  <c r="F196" i="1"/>
  <c r="C20" i="12"/>
  <c r="C19" i="12"/>
  <c r="C21" i="12"/>
  <c r="C12" i="12"/>
  <c r="C11" i="12"/>
  <c r="B21" i="12"/>
  <c r="B20" i="12"/>
  <c r="B19" i="12"/>
  <c r="B11" i="12"/>
  <c r="B12" i="12"/>
  <c r="K521" i="1"/>
  <c r="K520" i="1"/>
  <c r="J526" i="1"/>
  <c r="I526" i="1"/>
  <c r="H526" i="1"/>
  <c r="G526" i="1"/>
  <c r="F526" i="1"/>
  <c r="J525" i="1"/>
  <c r="I525" i="1"/>
  <c r="H525" i="1"/>
  <c r="G525" i="1"/>
  <c r="F525" i="1"/>
  <c r="J520" i="1"/>
  <c r="H521" i="1"/>
  <c r="F520" i="1"/>
  <c r="G520" i="1"/>
  <c r="H520" i="1"/>
  <c r="I520" i="1"/>
  <c r="J521" i="1"/>
  <c r="I521" i="1"/>
  <c r="F521" i="1"/>
  <c r="H540" i="1"/>
  <c r="H537" i="1"/>
  <c r="H536" i="1"/>
  <c r="H535" i="1"/>
  <c r="F532" i="1"/>
  <c r="F531" i="1"/>
  <c r="F530" i="1"/>
  <c r="G532" i="1"/>
  <c r="G531" i="1"/>
  <c r="G530" i="1"/>
  <c r="H576" i="1"/>
  <c r="H574" i="1"/>
  <c r="H603" i="1"/>
  <c r="I603" i="1"/>
  <c r="J603" i="1"/>
  <c r="H224" i="1"/>
  <c r="H206" i="1"/>
  <c r="H207" i="1"/>
  <c r="H591" i="1"/>
  <c r="F224" i="1"/>
  <c r="G224" i="1"/>
  <c r="G206" i="1"/>
  <c r="F206" i="1"/>
  <c r="F203" i="1"/>
  <c r="F220" i="1"/>
  <c r="G220" i="1"/>
  <c r="H220" i="1"/>
  <c r="J220" i="1"/>
  <c r="J202" i="1"/>
  <c r="H202" i="1"/>
  <c r="G202" i="1"/>
  <c r="F202" i="1"/>
  <c r="F219" i="1"/>
  <c r="G219" i="1"/>
  <c r="H219" i="1"/>
  <c r="I219" i="1"/>
  <c r="K219" i="1"/>
  <c r="K201" i="1"/>
  <c r="I201" i="1"/>
  <c r="H201" i="1"/>
  <c r="G201" i="1"/>
  <c r="F201" i="1"/>
  <c r="F215" i="1"/>
  <c r="G215" i="1"/>
  <c r="H215" i="1"/>
  <c r="J215" i="1"/>
  <c r="J197" i="1"/>
  <c r="H197" i="1"/>
  <c r="G197" i="1"/>
  <c r="F197" i="1"/>
  <c r="J233" i="1"/>
  <c r="H233" i="1"/>
  <c r="G233" i="1"/>
  <c r="F233" i="1"/>
  <c r="H232" i="1"/>
  <c r="H243" i="1"/>
  <c r="H225" i="1"/>
  <c r="I224" i="1"/>
  <c r="K222" i="1"/>
  <c r="J222" i="1"/>
  <c r="I222" i="1"/>
  <c r="H222" i="1"/>
  <c r="G222" i="1"/>
  <c r="F222" i="1"/>
  <c r="K220" i="1"/>
  <c r="I220" i="1"/>
  <c r="J219" i="1"/>
  <c r="H217" i="1"/>
  <c r="G217" i="1"/>
  <c r="F217" i="1"/>
  <c r="I215" i="1"/>
  <c r="K214" i="1"/>
  <c r="J214" i="1"/>
  <c r="I214" i="1"/>
  <c r="H214" i="1"/>
  <c r="I206" i="1"/>
  <c r="K204" i="1"/>
  <c r="J204" i="1"/>
  <c r="I204" i="1"/>
  <c r="H204" i="1"/>
  <c r="G204" i="1"/>
  <c r="F204" i="1"/>
  <c r="I202" i="1"/>
  <c r="J201" i="1"/>
  <c r="I197" i="1"/>
  <c r="K196" i="1"/>
  <c r="I196" i="1"/>
  <c r="H196" i="1"/>
  <c r="I275" i="1"/>
  <c r="H275" i="1"/>
  <c r="G275" i="1"/>
  <c r="F275" i="1"/>
  <c r="K343" i="1"/>
  <c r="K276" i="1"/>
  <c r="J276" i="1"/>
  <c r="I276" i="1"/>
  <c r="H276" i="1"/>
  <c r="G276" i="1"/>
  <c r="F276" i="1"/>
  <c r="F29" i="1"/>
  <c r="H358" i="1"/>
  <c r="H357" i="1"/>
  <c r="K358" i="1"/>
  <c r="K357" i="1"/>
  <c r="G467" i="1"/>
  <c r="C37" i="10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/>
  <c r="G44" i="2"/>
  <c r="I457" i="1"/>
  <c r="J39" i="1"/>
  <c r="G38" i="2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/>
  <c r="G58" i="2"/>
  <c r="G60" i="2"/>
  <c r="F2" i="11"/>
  <c r="L612" i="1"/>
  <c r="H662" i="1"/>
  <c r="L611" i="1"/>
  <c r="G662" i="1"/>
  <c r="L610" i="1"/>
  <c r="F662" i="1"/>
  <c r="C40" i="10"/>
  <c r="G59" i="1"/>
  <c r="H59" i="1"/>
  <c r="I59" i="1"/>
  <c r="G110" i="1"/>
  <c r="G111" i="1"/>
  <c r="H78" i="1"/>
  <c r="H93" i="1"/>
  <c r="H110" i="1"/>
  <c r="I110" i="1"/>
  <c r="I111" i="1"/>
  <c r="J110" i="1"/>
  <c r="J111" i="1"/>
  <c r="G120" i="1"/>
  <c r="G135" i="1"/>
  <c r="H120" i="1"/>
  <c r="H135" i="1"/>
  <c r="I120" i="1"/>
  <c r="I135" i="1"/>
  <c r="J120" i="1"/>
  <c r="J135" i="1"/>
  <c r="G146" i="1"/>
  <c r="G161" i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C23" i="10"/>
  <c r="L253" i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/>
  <c r="L521" i="1"/>
  <c r="F549" i="1"/>
  <c r="L522" i="1"/>
  <c r="F550" i="1"/>
  <c r="L525" i="1"/>
  <c r="G548" i="1"/>
  <c r="L526" i="1"/>
  <c r="G549" i="1"/>
  <c r="L527" i="1"/>
  <c r="G550" i="1"/>
  <c r="L530" i="1"/>
  <c r="H548" i="1"/>
  <c r="L531" i="1"/>
  <c r="H549" i="1"/>
  <c r="L532" i="1"/>
  <c r="H550" i="1"/>
  <c r="L535" i="1"/>
  <c r="I548" i="1"/>
  <c r="L536" i="1"/>
  <c r="I549" i="1"/>
  <c r="L537" i="1"/>
  <c r="I550" i="1"/>
  <c r="L540" i="1"/>
  <c r="J548" i="1"/>
  <c r="L541" i="1"/>
  <c r="J549" i="1"/>
  <c r="L542" i="1"/>
  <c r="J550" i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/>
  <c r="G8" i="2"/>
  <c r="C9" i="2"/>
  <c r="D9" i="2"/>
  <c r="E9" i="2"/>
  <c r="F9" i="2"/>
  <c r="I439" i="1"/>
  <c r="J10" i="1"/>
  <c r="G9" i="2"/>
  <c r="C10" i="2"/>
  <c r="C11" i="2"/>
  <c r="D11" i="2"/>
  <c r="E11" i="2"/>
  <c r="F11" i="2"/>
  <c r="I440" i="1"/>
  <c r="J12" i="1"/>
  <c r="G11" i="2"/>
  <c r="C12" i="2"/>
  <c r="D12" i="2"/>
  <c r="E12" i="2"/>
  <c r="F12" i="2"/>
  <c r="I441" i="1"/>
  <c r="J13" i="1"/>
  <c r="G12" i="2"/>
  <c r="C13" i="2"/>
  <c r="D13" i="2"/>
  <c r="E13" i="2"/>
  <c r="F13" i="2"/>
  <c r="I442" i="1"/>
  <c r="J14" i="1"/>
  <c r="G13" i="2"/>
  <c r="F14" i="2"/>
  <c r="C15" i="2"/>
  <c r="D15" i="2"/>
  <c r="E15" i="2"/>
  <c r="F15" i="2"/>
  <c r="C16" i="2"/>
  <c r="D16" i="2"/>
  <c r="E16" i="2"/>
  <c r="F16" i="2"/>
  <c r="I443" i="1"/>
  <c r="J17" i="1"/>
  <c r="C17" i="2"/>
  <c r="D17" i="2"/>
  <c r="E17" i="2"/>
  <c r="F17" i="2"/>
  <c r="I444" i="1"/>
  <c r="J18" i="1"/>
  <c r="G17" i="2"/>
  <c r="C21" i="2"/>
  <c r="D21" i="2"/>
  <c r="E21" i="2"/>
  <c r="F21" i="2"/>
  <c r="I447" i="1"/>
  <c r="J22" i="1"/>
  <c r="C22" i="2"/>
  <c r="D22" i="2"/>
  <c r="E22" i="2"/>
  <c r="F22" i="2"/>
  <c r="I448" i="1"/>
  <c r="J23" i="1"/>
  <c r="C23" i="2"/>
  <c r="D23" i="2"/>
  <c r="E23" i="2"/>
  <c r="F23" i="2"/>
  <c r="I449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/>
  <c r="C34" i="2"/>
  <c r="D34" i="2"/>
  <c r="E34" i="2"/>
  <c r="F34" i="2"/>
  <c r="C35" i="2"/>
  <c r="D35" i="2"/>
  <c r="E35" i="2"/>
  <c r="F35" i="2"/>
  <c r="I453" i="1"/>
  <c r="J48" i="1"/>
  <c r="G47" i="2"/>
  <c r="I455" i="1"/>
  <c r="J43" i="1"/>
  <c r="I456" i="1"/>
  <c r="J37" i="1"/>
  <c r="I458" i="1"/>
  <c r="J47" i="1"/>
  <c r="G46" i="2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E76" i="2"/>
  <c r="F76" i="2"/>
  <c r="G76" i="2"/>
  <c r="G77" i="2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/>
  <c r="F127" i="2"/>
  <c r="G127" i="2"/>
  <c r="C129" i="2"/>
  <c r="E129" i="2"/>
  <c r="F129" i="2"/>
  <c r="D133" i="2"/>
  <c r="D143" i="2"/>
  <c r="D144" i="2"/>
  <c r="E133" i="2"/>
  <c r="F133" i="2"/>
  <c r="K418" i="1"/>
  <c r="K426" i="1"/>
  <c r="K432" i="1"/>
  <c r="L262" i="1"/>
  <c r="C134" i="2"/>
  <c r="E134" i="2"/>
  <c r="L263" i="1"/>
  <c r="C135" i="2"/>
  <c r="L264" i="1"/>
  <c r="C136" i="2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/>
  <c r="G499" i="1"/>
  <c r="C160" i="2"/>
  <c r="H499" i="1"/>
  <c r="D160" i="2"/>
  <c r="I499" i="1"/>
  <c r="E160" i="2"/>
  <c r="J499" i="1"/>
  <c r="F160" i="2"/>
  <c r="B161" i="2"/>
  <c r="C161" i="2"/>
  <c r="D161" i="2"/>
  <c r="E161" i="2"/>
  <c r="F161" i="2"/>
  <c r="B162" i="2"/>
  <c r="C162" i="2"/>
  <c r="D162" i="2"/>
  <c r="E162" i="2"/>
  <c r="F162" i="2"/>
  <c r="F502" i="1"/>
  <c r="B163" i="2"/>
  <c r="G502" i="1"/>
  <c r="C163" i="2"/>
  <c r="H502" i="1"/>
  <c r="D163" i="2"/>
  <c r="I502" i="1"/>
  <c r="E163" i="2"/>
  <c r="J502" i="1"/>
  <c r="F163" i="2"/>
  <c r="F19" i="1"/>
  <c r="G19" i="1"/>
  <c r="H19" i="1"/>
  <c r="I19" i="1"/>
  <c r="F32" i="1"/>
  <c r="G32" i="1"/>
  <c r="H32" i="1"/>
  <c r="I32" i="1"/>
  <c r="F50" i="1"/>
  <c r="F51" i="1"/>
  <c r="H616" i="1"/>
  <c r="G50" i="1"/>
  <c r="G51" i="1"/>
  <c r="H617" i="1"/>
  <c r="H50" i="1"/>
  <c r="H51" i="1"/>
  <c r="H618" i="1"/>
  <c r="I50" i="1"/>
  <c r="I51" i="1"/>
  <c r="H619" i="1"/>
  <c r="I176" i="1"/>
  <c r="G182" i="1"/>
  <c r="H182" i="1"/>
  <c r="I182" i="1"/>
  <c r="J182" i="1"/>
  <c r="J191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L336" i="1"/>
  <c r="J337" i="1"/>
  <c r="J351" i="1"/>
  <c r="K337" i="1"/>
  <c r="K351" i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/>
  <c r="G635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/>
  <c r="I597" i="1"/>
  <c r="H649" i="1"/>
  <c r="J597" i="1"/>
  <c r="H650" i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J648" i="1"/>
  <c r="G649" i="1"/>
  <c r="G650" i="1"/>
  <c r="G651" i="1"/>
  <c r="H651" i="1"/>
  <c r="G652" i="1"/>
  <c r="H652" i="1"/>
  <c r="G653" i="1"/>
  <c r="H653" i="1"/>
  <c r="H654" i="1"/>
  <c r="L255" i="1"/>
  <c r="L256" i="1"/>
  <c r="L270" i="1"/>
  <c r="G631" i="1"/>
  <c r="K256" i="1"/>
  <c r="K270" i="1"/>
  <c r="I256" i="1"/>
  <c r="I270" i="1"/>
  <c r="G256" i="1"/>
  <c r="G270" i="1"/>
  <c r="G163" i="2"/>
  <c r="G159" i="2"/>
  <c r="C18" i="2"/>
  <c r="F31" i="2"/>
  <c r="C26" i="10"/>
  <c r="L327" i="1"/>
  <c r="H659" i="1"/>
  <c r="H663" i="1"/>
  <c r="L350" i="1"/>
  <c r="I661" i="1"/>
  <c r="L289" i="1"/>
  <c r="F659" i="1"/>
  <c r="A31" i="12"/>
  <c r="C69" i="2"/>
  <c r="A40" i="12"/>
  <c r="D12" i="13"/>
  <c r="C12" i="13"/>
  <c r="G161" i="2"/>
  <c r="D61" i="2"/>
  <c r="D62" i="2"/>
  <c r="E49" i="2"/>
  <c r="D18" i="13"/>
  <c r="C18" i="13"/>
  <c r="D15" i="13"/>
  <c r="C15" i="13"/>
  <c r="D7" i="13"/>
  <c r="C7" i="13"/>
  <c r="F102" i="2"/>
  <c r="D18" i="2"/>
  <c r="E18" i="2"/>
  <c r="D17" i="13"/>
  <c r="C17" i="13"/>
  <c r="D6" i="13"/>
  <c r="C6" i="13"/>
  <c r="E8" i="13"/>
  <c r="C8" i="13"/>
  <c r="G158" i="2"/>
  <c r="C90" i="2"/>
  <c r="G80" i="2"/>
  <c r="F77" i="2"/>
  <c r="F80" i="2"/>
  <c r="F61" i="2"/>
  <c r="F62" i="2"/>
  <c r="D31" i="2"/>
  <c r="C127" i="2"/>
  <c r="C77" i="2"/>
  <c r="C80" i="2"/>
  <c r="D49" i="2"/>
  <c r="G156" i="2"/>
  <c r="F49" i="2"/>
  <c r="F50" i="2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/>
  <c r="C61" i="2"/>
  <c r="C62" i="2"/>
  <c r="E31" i="2"/>
  <c r="C31" i="2"/>
  <c r="G61" i="2"/>
  <c r="D29" i="13"/>
  <c r="C29" i="13"/>
  <c r="D19" i="13"/>
  <c r="C19" i="13"/>
  <c r="D14" i="13"/>
  <c r="C14" i="13"/>
  <c r="E13" i="13"/>
  <c r="C13" i="13"/>
  <c r="J616" i="1"/>
  <c r="E77" i="2"/>
  <c r="E80" i="2"/>
  <c r="L426" i="1"/>
  <c r="J256" i="1"/>
  <c r="J270" i="1"/>
  <c r="H111" i="1"/>
  <c r="J640" i="1"/>
  <c r="J638" i="1"/>
  <c r="K604" i="1"/>
  <c r="G647" i="1"/>
  <c r="J570" i="1"/>
  <c r="K570" i="1"/>
  <c r="L432" i="1"/>
  <c r="L418" i="1"/>
  <c r="D80" i="2"/>
  <c r="I168" i="1"/>
  <c r="H168" i="1"/>
  <c r="G551" i="1"/>
  <c r="E50" i="2"/>
  <c r="J643" i="1"/>
  <c r="J642" i="1"/>
  <c r="J475" i="1"/>
  <c r="H625" i="1"/>
  <c r="H475" i="1"/>
  <c r="H623" i="1"/>
  <c r="J623" i="1"/>
  <c r="F475" i="1"/>
  <c r="H621" i="1"/>
  <c r="J621" i="1"/>
  <c r="I475" i="1"/>
  <c r="H624" i="1"/>
  <c r="J624" i="1"/>
  <c r="G475" i="1"/>
  <c r="H622" i="1"/>
  <c r="J622" i="1"/>
  <c r="G337" i="1"/>
  <c r="G351" i="1"/>
  <c r="J139" i="1"/>
  <c r="F570" i="1"/>
  <c r="H256" i="1"/>
  <c r="H270" i="1"/>
  <c r="F663" i="1"/>
  <c r="F671" i="1"/>
  <c r="C4" i="10"/>
  <c r="I551" i="1"/>
  <c r="K548" i="1"/>
  <c r="K549" i="1"/>
  <c r="G22" i="2"/>
  <c r="K597" i="1"/>
  <c r="G646" i="1"/>
  <c r="J646" i="1"/>
  <c r="K544" i="1"/>
  <c r="J551" i="1"/>
  <c r="H551" i="1"/>
  <c r="C29" i="10"/>
  <c r="I660" i="1"/>
  <c r="H139" i="1"/>
  <c r="L400" i="1"/>
  <c r="C138" i="2"/>
  <c r="L392" i="1"/>
  <c r="A13" i="12"/>
  <c r="F22" i="13"/>
  <c r="H25" i="13"/>
  <c r="C25" i="13"/>
  <c r="J650" i="1"/>
  <c r="J639" i="1"/>
  <c r="J633" i="1"/>
  <c r="H570" i="1"/>
  <c r="L559" i="1"/>
  <c r="J544" i="1"/>
  <c r="H337" i="1"/>
  <c r="H351" i="1"/>
  <c r="F337" i="1"/>
  <c r="F351" i="1"/>
  <c r="G191" i="1"/>
  <c r="H191" i="1"/>
  <c r="E127" i="2"/>
  <c r="E144" i="2"/>
  <c r="F551" i="1"/>
  <c r="C35" i="10"/>
  <c r="L308" i="1"/>
  <c r="D5" i="13"/>
  <c r="C5" i="13"/>
  <c r="E16" i="13"/>
  <c r="E33" i="13"/>
  <c r="D35" i="13"/>
  <c r="C49" i="2"/>
  <c r="C50" i="2"/>
  <c r="J654" i="1"/>
  <c r="J644" i="1"/>
  <c r="L569" i="1"/>
  <c r="I570" i="1"/>
  <c r="I544" i="1"/>
  <c r="J635" i="1"/>
  <c r="G36" i="2"/>
  <c r="L564" i="1"/>
  <c r="G544" i="1"/>
  <c r="L544" i="1"/>
  <c r="H544" i="1"/>
  <c r="K550" i="1"/>
  <c r="K551" i="1"/>
  <c r="C22" i="13"/>
  <c r="C137" i="2"/>
  <c r="C16" i="13"/>
  <c r="H33" i="13"/>
  <c r="F666" i="1"/>
  <c r="L337" i="1"/>
  <c r="L351" i="1"/>
  <c r="G632" i="1"/>
  <c r="J632" i="1"/>
  <c r="C24" i="10"/>
  <c r="G659" i="1"/>
  <c r="G663" i="1"/>
  <c r="G31" i="13"/>
  <c r="G33" i="13"/>
  <c r="I337" i="1"/>
  <c r="I351" i="1"/>
  <c r="J649" i="1"/>
  <c r="L406" i="1"/>
  <c r="C139" i="2"/>
  <c r="C140" i="2"/>
  <c r="C143" i="2"/>
  <c r="C144" i="2"/>
  <c r="L570" i="1"/>
  <c r="J631" i="1"/>
  <c r="I191" i="1"/>
  <c r="E90" i="2"/>
  <c r="L407" i="1"/>
  <c r="G636" i="1"/>
  <c r="J636" i="1"/>
  <c r="D50" i="2"/>
  <c r="J653" i="1"/>
  <c r="J652" i="1"/>
  <c r="F143" i="2"/>
  <c r="F144" i="2" s="1"/>
  <c r="G21" i="2"/>
  <c r="G31" i="2"/>
  <c r="J32" i="1"/>
  <c r="L433" i="1"/>
  <c r="G637" i="1"/>
  <c r="J637" i="1"/>
  <c r="J433" i="1"/>
  <c r="F433" i="1"/>
  <c r="K433" i="1"/>
  <c r="G133" i="2"/>
  <c r="G143" i="2"/>
  <c r="G144" i="2"/>
  <c r="H666" i="1"/>
  <c r="H671" i="1"/>
  <c r="C6" i="10"/>
  <c r="F31" i="13"/>
  <c r="I659" i="1"/>
  <c r="J192" i="1"/>
  <c r="G645" i="1"/>
  <c r="F103" i="2"/>
  <c r="H192" i="1"/>
  <c r="G628" i="1"/>
  <c r="J628" i="1"/>
  <c r="G168" i="1"/>
  <c r="C39" i="10"/>
  <c r="G139" i="1"/>
  <c r="G626" i="1"/>
  <c r="J626" i="1"/>
  <c r="C36" i="10"/>
  <c r="G62" i="2"/>
  <c r="G103" i="2"/>
  <c r="J617" i="1"/>
  <c r="G666" i="1"/>
  <c r="G671" i="1"/>
  <c r="C5" i="10"/>
  <c r="G42" i="2"/>
  <c r="J50" i="1"/>
  <c r="G16" i="2"/>
  <c r="J19" i="1"/>
  <c r="G620" i="1"/>
  <c r="F33" i="13"/>
  <c r="D31" i="13"/>
  <c r="C31" i="13"/>
  <c r="G18" i="2"/>
  <c r="F544" i="1"/>
  <c r="H433" i="1"/>
  <c r="J619" i="1"/>
  <c r="J618" i="1"/>
  <c r="D102" i="2"/>
  <c r="D103" i="2"/>
  <c r="I139" i="1"/>
  <c r="I192" i="1"/>
  <c r="G629" i="1"/>
  <c r="J629" i="1"/>
  <c r="A22" i="12"/>
  <c r="H645" i="1"/>
  <c r="G49" i="2"/>
  <c r="G50" i="2"/>
  <c r="H647" i="1"/>
  <c r="J647" i="1"/>
  <c r="C103" i="2"/>
  <c r="J651" i="1"/>
  <c r="J641" i="1"/>
  <c r="G570" i="1"/>
  <c r="I433" i="1"/>
  <c r="G433" i="1"/>
  <c r="E103" i="2"/>
  <c r="I662" i="1"/>
  <c r="C27" i="10"/>
  <c r="C28" i="10"/>
  <c r="G634" i="1"/>
  <c r="J634" i="1"/>
  <c r="G630" i="1"/>
  <c r="J630" i="1"/>
  <c r="I663" i="1"/>
  <c r="I671" i="1"/>
  <c r="C7" i="10" s="1"/>
  <c r="D33" i="13"/>
  <c r="D36" i="13"/>
  <c r="J645" i="1"/>
  <c r="G192" i="1"/>
  <c r="G627" i="1"/>
  <c r="J627" i="1"/>
  <c r="G625" i="1"/>
  <c r="J625" i="1"/>
  <c r="J51" i="1"/>
  <c r="H620" i="1"/>
  <c r="J620" i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6" i="1"/>
  <c r="H655" i="1"/>
  <c r="D28" i="10"/>
  <c r="C41" i="10"/>
  <c r="D38" i="10"/>
  <c r="D37" i="10"/>
  <c r="D36" i="10"/>
  <c r="D35" i="10"/>
  <c r="D40" i="10"/>
  <c r="D39" i="10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<sst xmlns="http://schemas.openxmlformats.org/spreadsheetml/2006/main" count="3962" uniqueCount="912">
  <si>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</si>
  <si>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</si>
  <si>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</si>
  <si>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</si>
  <si>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</si>
  <si>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</si>
  <si>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</si>
  <si>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</si>
  <si>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</si>
  <si>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</si>
  <si>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</si>
  <si>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</si>
  <si>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</si>
  <si>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</si>
  <si>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</si>
  <si>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</si>
  <si>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</si>
  <si>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</si>
  <si>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</si>
  <si>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</si>
  <si>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</si>
  <si>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</si>
  <si>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</si>
  <si>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</si>
  <si>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</si>
  <si>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</si>
  <si>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</si>
  <si>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</si>
  <si>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</si>
  <si>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</si>
  <si>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</si>
  <si>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</si>
  <si>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</si>
  <si>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</si>
  <si>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</si>
  <si>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</si>
  <si>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</si>
  <si>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</si>
  <si>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</si>
  <si>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</si>
  <si>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</si>
  <si>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</si>
  <si>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</si>
  <si>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</si>
  <si>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</si>
  <si>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</si>
  <si>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</si>
  <si>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</si>
  <si>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</si>
  <si>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</si>
  <si>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</si>
  <si>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</si>
  <si>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</si>
  <si>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</si>
  <si>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</si>
  <si>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</si>
  <si>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</si>
  <si>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</si>
  <si>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</si>
  <si>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</si>
  <si>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</si>
  <si>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</si>
  <si>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</si>
  <si>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</si>
  <si>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</si>
  <si>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</si>
  <si>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</si>
  <si>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</si>
  <si>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</si>
  <si>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</si>
  <si>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</si>
  <si>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</si>
  <si>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</si>
  <si>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</si>
  <si>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</si>
  <si>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</si>
  <si>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</si>
  <si>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</si>
  <si>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</si>
  <si>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</si>
  <si>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</si>
  <si>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</si>
  <si>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</si>
  <si>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</si>
  <si>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</si>
  <si>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</si>
  <si>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</si>
  <si>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</si>
  <si>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</si>
  <si>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</si>
  <si>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</si>
  <si>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</si>
  <si>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</si>
  <si>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</si>
  <si>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</si>
  <si>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</si>
  <si>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</si>
  <si>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</si>
  <si>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</si>
  <si>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</si>
  <si>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</si>
  <si>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</si>
  <si>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</si>
  <si>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</si>
  <si>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</si>
  <si>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</si>
  <si>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</si>
  <si>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</si>
  <si>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</si>
  <si>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</si>
  <si>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</si>
  <si>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</si>
  <si>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</si>
  <si>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</si>
  <si>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</si>
  <si>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</si>
  <si>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</si>
  <si>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</si>
  <si>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</si>
  <si>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</si>
  <si>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</si>
  <si>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</si>
  <si>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</si>
  <si>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</si>
  <si>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</si>
  <si>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</si>
  <si>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</si>
  <si>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</si>
  <si>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</si>
  <si>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</si>
  <si>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</si>
  <si>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</si>
  <si>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</si>
  <si>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</si>
  <si>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</si>
  <si>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</si>
  <si>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</si>
  <si>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</si>
  <si>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</si>
  <si>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</si>
  <si>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</si>
  <si>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</si>
  <si>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</si>
  <si>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</si>
  <si>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</si>
  <si>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</si>
  <si>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</si>
  <si>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</si>
  <si>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</si>
  <si>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</si>
  <si>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</si>
  <si>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</si>
  <si>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</si>
  <si>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</si>
  <si>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</si>
  <si>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</si>
  <si>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</si>
  <si>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</si>
  <si>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</si>
  <si>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</si>
  <si>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</si>
  <si>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</si>
  <si>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</si>
  <si>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</si>
  <si>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</si>
  <si>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</si>
  <si>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</si>
  <si>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</si>
  <si>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</si>
  <si>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</si>
  <si>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</si>
  <si>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</si>
  <si>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</si>
  <si>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</si>
  <si>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</si>
  <si>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</si>
  <si>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</si>
  <si>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</si>
  <si>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</si>
  <si>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</si>
  <si>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</si>
  <si>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</si>
  <si>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</si>
  <si>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</si>
  <si>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</si>
  <si>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</si>
  <si>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</si>
  <si>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</si>
  <si>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</si>
  <si>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</si>
  <si>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</si>
  <si>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</si>
  <si>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</si>
  <si>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</si>
  <si>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</si>
  <si>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</si>
  <si>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</si>
  <si>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</si>
  <si>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</si>
  <si>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</si>
  <si>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</si>
  <si>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</si>
  <si>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</si>
  <si>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</si>
  <si>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</si>
  <si>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</si>
  <si>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</si>
  <si>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</si>
  <si>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</si>
  <si>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</si>
  <si>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</si>
  <si>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</si>
  <si>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</si>
  <si>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</si>
  <si>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</si>
  <si>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</si>
  <si>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</si>
  <si>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</si>
  <si>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</si>
  <si>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</si>
  <si>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</si>
  <si>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</si>
  <si>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</si>
  <si>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</si>
  <si>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</si>
  <si>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</si>
  <si>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</si>
  <si>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</si>
  <si>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</si>
  <si>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</si>
  <si>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</si>
  <si>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</si>
  <si>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</si>
  <si>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</si>
  <si>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</si>
  <si>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</si>
  <si>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</si>
  <si>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</si>
  <si>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</si>
  <si>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</si>
  <si>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</si>
  <si>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</si>
  <si>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</si>
  <si>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</si>
  <si>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</si>
  <si>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</si>
  <si>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</si>
  <si>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</si>
  <si>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</si>
  <si>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</si>
  <si>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</si>
  <si>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</si>
  <si>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</si>
  <si>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</si>
  <si>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</si>
  <si>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</si>
  <si>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</si>
  <si>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</si>
  <si>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</si>
  <si>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</si>
  <si>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</si>
  <si>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</si>
  <si>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</si>
  <si>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</si>
  <si>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</si>
  <si>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</si>
  <si>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</si>
  <si>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</si>
  <si>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</si>
  <si>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</si>
  <si>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</si>
  <si>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</si>
  <si>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</si>
  <si>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</si>
  <si>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</si>
  <si>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</si>
  <si>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</si>
  <si>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</si>
  <si>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</si>
  <si>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</si>
  <si>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</si>
  <si>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</si>
  <si>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</si>
  <si>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</si>
  <si>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</si>
  <si>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</si>
  <si>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</si>
  <si>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</si>
  <si>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</si>
  <si>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</si>
  <si>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</si>
  <si>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</si>
  <si>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</si>
  <si>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</si>
  <si>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</si>
  <si>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</si>
  <si>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</si>
  <si>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</si>
  <si>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</si>
  <si>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</si>
  <si>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</si>
  <si>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</si>
  <si>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</si>
  <si>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</si>
  <si>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</si>
  <si>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</si>
  <si>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</si>
  <si>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</si>
  <si>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</si>
  <si>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</si>
  <si>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</si>
  <si>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</si>
  <si>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</si>
  <si>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</si>
  <si>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</si>
  <si>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</si>
  <si>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</si>
  <si>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</si>
  <si>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</si>
  <si>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</si>
  <si>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</si>
  <si>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</si>
  <si>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</si>
  <si>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</si>
  <si>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</si>
  <si>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</si>
  <si>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</si>
  <si>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</si>
  <si>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</si>
  <si>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</si>
  <si>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</si>
  <si>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</si>
  <si>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</si>
  <si>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</si>
  <si>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</si>
  <si>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</si>
  <si>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</si>
  <si>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</si>
  <si>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</si>
  <si>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</si>
  <si>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</si>
  <si>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</si>
  <si>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</si>
  <si>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</si>
  <si>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</si>
  <si>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</si>
  <si>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</si>
  <si>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</si>
  <si>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</si>
  <si>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</si>
  <si>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</si>
  <si>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</si>
  <si>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</si>
  <si>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</si>
  <si>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</si>
  <si>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</si>
  <si>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</si>
  <si>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</si>
  <si>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</si>
  <si>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</si>
  <si>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</si>
  <si>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</si>
  <si>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</si>
  <si>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</si>
  <si>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</si>
  <si>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</si>
  <si>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</si>
  <si>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</si>
  <si>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</si>
  <si>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</si>
  <si>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</si>
  <si>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</si>
  <si>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</si>
  <si>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</si>
  <si>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</si>
  <si>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</si>
  <si>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</si>
  <si>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</si>
  <si>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</si>
  <si>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</si>
  <si>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</si>
  <si>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</si>
  <si>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</si>
  <si>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</si>
  <si>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</si>
  <si>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</si>
  <si>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</si>
  <si>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</si>
  <si>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</si>
  <si>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</si>
  <si>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</si>
  <si>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</si>
  <si>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</si>
  <si>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</si>
  <si>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</si>
  <si>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</si>
  <si>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</si>
  <si>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</si>
  <si>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</si>
  <si>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</si>
  <si>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</si>
  <si>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</si>
  <si>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</si>
  <si>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</si>
  <si>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</si>
  <si>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</si>
  <si>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</si>
  <si>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</si>
  <si>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</si>
  <si>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</si>
  <si>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</si>
  <si>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</si>
  <si>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</si>
  <si>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</si>
  <si>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</si>
  <si>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</si>
  <si>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</si>
  <si>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</si>
  <si>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</si>
  <si>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</si>
  <si>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</si>
  <si>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</si>
  <si>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</si>
  <si>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</si>
  <si>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</si>
  <si>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</si>
  <si>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</si>
  <si>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</si>
  <si>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</si>
  <si>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</si>
  <si>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</si>
  <si>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</si>
  <si>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</si>
  <si>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</si>
  <si>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</si>
  <si>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</si>
  <si>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</si>
  <si>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</si>
  <si>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</si>
  <si>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</si>
  <si>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</si>
  <si>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</si>
  <si>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</si>
  <si>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</si>
  <si>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</si>
  <si>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</si>
  <si>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</si>
  <si>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</si>
  <si>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</si>
  <si>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</si>
  <si>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</si>
  <si>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</si>
  <si>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</si>
  <si>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</si>
  <si>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</si>
  <si>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</si>
  <si>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</si>
  <si>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</si>
  <si>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</si>
  <si>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</si>
  <si>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</si>
  <si>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</si>
  <si>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</si>
  <si>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</si>
  <si>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</si>
  <si>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</si>
  <si>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</si>
  <si>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</si>
  <si>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</si>
  <si>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</si>
  <si>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</si>
  <si>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</si>
  <si>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</si>
  <si>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</si>
  <si>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</si>
  <si>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</si>
  <si>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</si>
  <si>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</si>
  <si>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</si>
  <si>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</si>
  <si>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</si>
  <si>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</si>
  <si>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</si>
  <si>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</si>
  <si>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</si>
  <si>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</si>
  <si>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</si>
  <si>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</si>
  <si>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</si>
  <si>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</si>
  <si>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</si>
  <si>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</si>
  <si>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</si>
  <si>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</si>
  <si>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</si>
  <si>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</si>
  <si>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</si>
  <si>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</si>
  <si>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</si>
  <si>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</si>
  <si>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</si>
  <si>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</si>
  <si>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</si>
  <si>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</si>
  <si>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</si>
  <si>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</si>
  <si>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</si>
  <si>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</si>
  <si>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</si>
  <si>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</si>
  <si>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</si>
  <si>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</si>
  <si>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</si>
  <si>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</si>
  <si>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</si>
  <si>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</si>
  <si>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</si>
  <si>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</si>
  <si>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</si>
  <si>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</si>
  <si>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</si>
  <si>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</si>
  <si>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</si>
  <si>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</si>
  <si>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</si>
  <si>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</si>
  <si>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</si>
  <si>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</si>
  <si>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</si>
  <si>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</si>
  <si>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</si>
  <si>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</si>
  <si>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</si>
  <si>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</si>
  <si>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</si>
  <si>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</si>
  <si>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</si>
  <si>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</si>
  <si>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</si>
  <si>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</si>
  <si>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</si>
  <si>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</si>
  <si>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</si>
  <si>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</si>
  <si>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</si>
  <si>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</si>
  <si>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</si>
  <si>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</si>
  <si>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</si>
  <si>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</si>
  <si>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</si>
  <si>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</si>
  <si>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</si>
  <si>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</si>
  <si>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</si>
  <si>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</si>
  <si>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</si>
  <si>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</si>
  <si>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</si>
  <si>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</si>
  <si>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</si>
  <si>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</si>
  <si>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</si>
  <si>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</si>
  <si>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</si>
  <si>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</si>
  <si>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</si>
  <si>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</si>
  <si>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</si>
  <si>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</si>
  <si>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</si>
  <si>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</si>
  <si>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</si>
  <si>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</si>
  <si>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</si>
  <si>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</si>
  <si>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</si>
  <si>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</si>
  <si>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</si>
  <si>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</si>
  <si>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</si>
  <si>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</si>
  <si>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</si>
  <si>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</si>
  <si>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</si>
  <si>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</si>
  <si>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</si>
  <si>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</si>
  <si>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</si>
  <si>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</si>
  <si>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</si>
  <si>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</si>
  <si>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</si>
  <si>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</si>
  <si>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</si>
  <si>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</si>
  <si>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</si>
  <si>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</si>
  <si>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</si>
  <si>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</si>
  <si>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</si>
  <si>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</si>
  <si>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</si>
  <si>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</si>
  <si>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</si>
  <si>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</si>
  <si>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</si>
  <si>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</si>
  <si>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</si>
  <si>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</si>
  <si>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</si>
  <si>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</si>
  <si>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</si>
  <si>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</si>
  <si>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</si>
  <si>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</si>
  <si>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</si>
  <si>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</si>
  <si>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</si>
  <si>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</si>
  <si>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</si>
  <si>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</si>
  <si>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</si>
  <si>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</si>
  <si>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</si>
  <si>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</si>
  <si>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</si>
  <si>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</si>
  <si>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</si>
  <si>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</si>
  <si>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</si>
  <si>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</si>
  <si>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</si>
  <si>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</si>
  <si>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</si>
  <si>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</si>
  <si>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</si>
  <si>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</si>
  <si>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</si>
  <si>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</si>
  <si>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</si>
  <si>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</si>
  <si>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</si>
  <si>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</si>
  <si>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</si>
  <si>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</si>
  <si>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</si>
  <si>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</si>
  <si>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</si>
  <si>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</si>
  <si>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</si>
  <si>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</si>
  <si>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</si>
  <si>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</si>
  <si>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</si>
  <si>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</si>
  <si>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</si>
  <si>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</si>
  <si>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</si>
  <si>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</si>
  <si>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</si>
  <si>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</si>
  <si>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</si>
  <si>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</si>
  <si>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</si>
  <si>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</si>
  <si>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</si>
  <si>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</si>
  <si>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</si>
  <si>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</si>
  <si>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</si>
  <si>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</si>
  <si>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</si>
  <si>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</si>
  <si>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</si>
  <si>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</si>
  <si>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</si>
  <si>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</si>
  <si>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</si>
  <si>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</si>
  <si>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</si>
  <si>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</si>
  <si>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</si>
  <si>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</si>
  <si>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</si>
  <si>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</si>
  <si>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</si>
  <si>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</si>
  <si>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</si>
  <si>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</si>
  <si>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</si>
  <si>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</si>
  <si>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</si>
  <si>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</si>
  <si>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</si>
  <si>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</si>
  <si>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</si>
  <si>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</si>
  <si>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</si>
  <si>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</si>
  <si>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</si>
  <si>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</si>
  <si>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</si>
  <si>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</si>
  <si>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</si>
  <si>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</si>
  <si>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</si>
  <si>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</si>
  <si>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</si>
  <si>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</si>
  <si>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</si>
  <si>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</si>
  <si>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</si>
  <si>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</si>
  <si>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</si>
  <si>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</si>
  <si>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</si>
  <si>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</si>
  <si>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</si>
  <si>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</si>
  <si>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</si>
  <si>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</si>
  <si>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</si>
  <si>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</si>
  <si>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</si>
  <si>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</si>
  <si>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</si>
  <si>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</si>
  <si>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</si>
  <si>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</si>
  <si>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</si>
  <si>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</si>
  <si>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</si>
  <si>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</si>
  <si>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</si>
  <si>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</si>
  <si>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</si>
  <si>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</si>
  <si>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</si>
  <si>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</si>
  <si>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</si>
  <si>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</si>
  <si>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</si>
  <si>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</si>
  <si>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</si>
  <si>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</si>
  <si>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</si>
  <si>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</si>
  <si>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</si>
  <si>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</si>
  <si>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</si>
  <si>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</si>
  <si>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</si>
  <si>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</si>
  <si>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</si>
  <si>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</si>
  <si>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</si>
  <si>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</si>
  <si>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</si>
  <si>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</si>
  <si>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</si>
  <si>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</si>
  <si>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</si>
  <si>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</si>
  <si>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</si>
  <si>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</si>
  <si>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</si>
  <si>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</si>
  <si>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</si>
  <si>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</si>
  <si>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</si>
  <si>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</si>
  <si>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</si>
  <si>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</si>
  <si>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</si>
  <si>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</si>
  <si>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</si>
  <si>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</si>
  <si>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</si>
  <si>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</si>
  <si>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</si>
  <si>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</si>
  <si>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</si>
  <si>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</si>
  <si>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</si>
  <si>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</si>
  <si>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</si>
  <si>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</si>
  <si>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</si>
  <si>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</si>
  <si>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</si>
  <si>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</si>
  <si>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</si>
  <si>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</si>
  <si>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</si>
  <si>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</si>
  <si>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</si>
  <si>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</si>
  <si>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</si>
  <si>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</si>
  <si>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</si>
  <si>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</si>
  <si>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</si>
  <si>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</si>
  <si>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</si>
  <si>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</si>
  <si>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</si>
  <si>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</si>
  <si>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</si>
  <si>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</si>
  <si>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</si>
  <si>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</si>
  <si>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</si>
  <si>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</si>
  <si>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</si>
  <si>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</si>
  <si>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</si>
  <si>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</si>
  <si>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</si>
  <si>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</si>
  <si>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</si>
  <si>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</si>
  <si>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</si>
  <si>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</si>
  <si>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</si>
  <si>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</si>
  <si>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</si>
  <si>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</si>
  <si>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</si>
  <si>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</si>
  <si>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</si>
  <si>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</si>
  <si>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</si>
  <si>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</si>
  <si>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</si>
  <si>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</si>
  <si>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</si>
  <si>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</si>
  <si>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</si>
  <si>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</si>
  <si>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</si>
  <si>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</si>
  <si>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</si>
  <si>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</si>
  <si>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</si>
  <si>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</si>
  <si>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</si>
  <si>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</si>
  <si>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</si>
  <si>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</si>
  <si>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</si>
  <si>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</si>
  <si>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</si>
  <si>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</si>
  <si>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</si>
  <si>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</si>
  <si>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</si>
  <si>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</si>
  <si>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</si>
  <si>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</si>
  <si>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</si>
  <si>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</si>
  <si>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</si>
  <si>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</si>
  <si>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</si>
  <si>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</si>
  <si>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</si>
  <si>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</si>
  <si>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</si>
  <si>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</si>
  <si>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</si>
  <si>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</si>
  <si>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</si>
  <si>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</si>
  <si>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</si>
  <si>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</si>
  <si>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</si>
  <si>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</si>
  <si>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</si>
  <si>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</si>
  <si>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</si>
  <si>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</si>
  <si>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</si>
  <si>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</si>
  <si>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</si>
  <si>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</si>
  <si>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</si>
  <si>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</si>
  <si>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</si>
  <si>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</si>
  <si>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</si>
  <si>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</si>
  <si>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</si>
  <si>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</si>
  <si>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</si>
  <si>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</si>
  <si>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</si>
  <si>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</si>
  <si>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</si>
  <si>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</si>
  <si>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</si>
  <si>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</si>
  <si>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</si>
  <si>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</si>
  <si>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</si>
  <si>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</si>
  <si>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</si>
  <si>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</si>
  <si>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</si>
  <si>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12/02</t>
  </si>
  <si>
    <t>10/22</t>
  </si>
  <si>
    <t>Barrington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</si>
</sst>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u/>
      <sz val="8"/>
      <color theme="10"/>
      <name val="Arial"/>
      <family val="2"/>
    </font>
    <font>
      <u/>
      <sz val="8"/>
      <color theme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13">
    <xf numFmtId="0" fontId="0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comments" Target="../comments1.x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vmlDrawing" Target="../drawings/vmlDrawing1.vml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110" zoomScaleNormal="110" zoomScalePageLayoutView="125" workbookViewId="0">
      <pane xSplit="5" ySplit="3" topLeftCell="F642" activePane="bottomRight" state="frozen"/>
      <selection pane="topRight" activeCell="F1" sqref="F1"/>
      <selection pane="bottomLeft" activeCell="A4" sqref="A4"/>
      <selection pane="bottomRight" activeCell="F664" sqref="F664"/>
    </sheetView>
  </sheetViews>
  <sheetFormatPr defaultColWidth="9"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33</v>
      </c>
      <c r="C2" s="21">
        <v>33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1032776.92</f>
        <v>1032776.92</v>
      </c>
      <c r="G9" s="18">
        <v>4403.6499999999996</v>
      </c>
      <c r="H9" s="18">
        <v>57894.27</v>
      </c>
      <c r="I9" s="18" t="s">
        <v>287</v>
      </c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6964.31</v>
      </c>
      <c r="G10" s="18"/>
      <c r="H10" s="18"/>
      <c r="I10" s="18"/>
      <c r="J10" s="67">
        <f>SUM(I439)</f>
        <v>465073.13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723000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5685.02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1768426.25</v>
      </c>
      <c r="G19" s="41">
        <f>SUM(G9:G18)</f>
        <v>4403.6499999999996</v>
      </c>
      <c r="H19" s="41">
        <f>SUM(H9:H18)</f>
        <v>57894.27</v>
      </c>
      <c r="I19" s="41">
        <f>SUM(I9:I18)</f>
        <v>0</v>
      </c>
      <c r="J19" s="41">
        <f>SUM(J9:J18)</f>
        <v>465073.13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 t="s">
        <v>287</v>
      </c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377747.89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131460.43-38341.34</f>
        <v>93119.09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470866.98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f>550000+160000</f>
        <v>710000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 t="s">
        <v>287</v>
      </c>
      <c r="G47" s="18"/>
      <c r="H47" s="18">
        <v>57894.27</v>
      </c>
      <c r="I47" s="18"/>
      <c r="J47" s="13">
        <f>SUM(I458)</f>
        <v>465073.13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>
        <v>4403.6499999999996</v>
      </c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256180.27+331379</f>
        <v>587559.27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1297559.27</v>
      </c>
      <c r="G50" s="41">
        <f>SUM(G35:G49)</f>
        <v>4403.6499999999996</v>
      </c>
      <c r="H50" s="41">
        <f>SUM(H35:H49)</f>
        <v>57894.27</v>
      </c>
      <c r="I50" s="41">
        <f>SUM(I35:I49)</f>
        <v>0</v>
      </c>
      <c r="J50" s="41">
        <f>SUM(J35:J49)</f>
        <v>465073.13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1768426.25</v>
      </c>
      <c r="G51" s="41">
        <f>G50+G32</f>
        <v>4403.6499999999996</v>
      </c>
      <c r="H51" s="41">
        <f>H50+H32</f>
        <v>57894.27</v>
      </c>
      <c r="I51" s="41">
        <f>I50+I32</f>
        <v>0</v>
      </c>
      <c r="J51" s="41">
        <f>J50+J32</f>
        <v>465073.13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11264157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11264157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38220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47528.24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85748.239999999991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/>
      <c r="H95" s="18"/>
      <c r="I95" s="18"/>
      <c r="J95" s="18">
        <v>683.16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194579.8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115537.64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115537.64</v>
      </c>
      <c r="G110" s="41">
        <f>SUM(G95:G109)</f>
        <v>194579.8</v>
      </c>
      <c r="H110" s="41">
        <f>SUM(H95:H109)</f>
        <v>0</v>
      </c>
      <c r="I110" s="41">
        <f>SUM(I95:I109)</f>
        <v>0</v>
      </c>
      <c r="J110" s="41">
        <f>SUM(J95:J109)</f>
        <v>683.16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11465442.880000001</v>
      </c>
      <c r="G111" s="41">
        <f>G59+G110</f>
        <v>194579.8</v>
      </c>
      <c r="H111" s="41">
        <f>H59+H78+H93+H110</f>
        <v>0</v>
      </c>
      <c r="I111" s="41">
        <f>I59+I110</f>
        <v>0</v>
      </c>
      <c r="J111" s="41">
        <f>J59+J110</f>
        <v>683.16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3925320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1990996.08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5916316.0800000001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231529.28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143967.78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3874.39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556.79999999999995</v>
      </c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376053.86</v>
      </c>
      <c r="G135" s="41">
        <f>SUM(G122:G134)</f>
        <v>3874.39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6292369.9400000004</v>
      </c>
      <c r="G139" s="41">
        <f>G120+SUM(G135:G136)</f>
        <v>3874.39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145028.49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305328.56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93743.2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214648.58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214648.58</v>
      </c>
      <c r="G161" s="41">
        <f>SUM(G149:G160)</f>
        <v>93743.2</v>
      </c>
      <c r="H161" s="41">
        <f>SUM(H149:H160)</f>
        <v>450357.05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214648.58</v>
      </c>
      <c r="G168" s="41">
        <f>G146+G161+SUM(G162:G167)</f>
        <v>93743.2</v>
      </c>
      <c r="H168" s="41">
        <f>H146+H161+SUM(H162:H167)</f>
        <v>450357.05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90001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 t="s">
        <v>287</v>
      </c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90001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90001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508250.79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598251.79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598251.79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90001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18570713.189999998</v>
      </c>
      <c r="G192" s="47">
        <f>G111+G139+G168+G191</f>
        <v>292197.39</v>
      </c>
      <c r="H192" s="47">
        <f>H111+H139+H168+H191</f>
        <v>450357.05</v>
      </c>
      <c r="I192" s="47">
        <f>I111+I139+I168+I191</f>
        <v>0</v>
      </c>
      <c r="J192" s="47">
        <f>J111+J139+J191</f>
        <v>90684.160000000003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1154849.02+166735+10506+77969.2+43349.5+6519.75+62525.02+160000</f>
        <v>1682453.49</v>
      </c>
      <c r="G196" s="18">
        <f>358461.77+58363.88+10695.47+892.38+972+216+2661.91+512.64+96238.04+16793.25+137743.7+23450.38+41601.06+34607.96</f>
        <v>783210.44</v>
      </c>
      <c r="H196" s="18">
        <f>3030.67+675</f>
        <v>3705.67</v>
      </c>
      <c r="I196" s="18">
        <f>7930.75+24607.9+740+400+4453.75+962.79+426.29+180.09+6029.99+217.65+3169.83+197.88+849.38+68.96+506.32+200.86+759.85+484.28+7901.75</f>
        <v>60088.319999999992</v>
      </c>
      <c r="J196" s="18"/>
      <c r="K196" s="18">
        <f>120</f>
        <v>120</v>
      </c>
      <c r="L196" s="19">
        <f>SUM(F196:K196)</f>
        <v>2529577.9199999995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248714.05+32171.28+343191.86+77874.49+3895+6462.63+9172.5+2460+17037.5+16001.53</f>
        <v>756980.84</v>
      </c>
      <c r="G197" s="18">
        <f>197141.11+37522.66+3063.46+958.5+210+1568.48+259.14+47120.72+9282.27+59432.71+9666.64+1298.9</f>
        <v>367524.59000000008</v>
      </c>
      <c r="H197" s="18">
        <f>11242.3+43243</f>
        <v>54485.3</v>
      </c>
      <c r="I197" s="18">
        <f>4084.61+500.18+3917.78</f>
        <v>8502.57</v>
      </c>
      <c r="J197" s="18">
        <f>2894.53+91.95+1916.54+696+431.2</f>
        <v>6030.22</v>
      </c>
      <c r="K197" s="18"/>
      <c r="L197" s="19">
        <f>SUM(F197:K197)</f>
        <v>1193523.5200000003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84099.38+18500.04+57038.9+7001.59+1215+53854.02+21653.12+16331.97+174522.46</f>
        <v>434216.48</v>
      </c>
      <c r="G201" s="18">
        <f>11956.72+2000+378.96+654.68+72+36+211.84+43.78+6739.57+1568.44+9897.58+8950.61+500.31+55.5+12+144.28+19.34+5297.92+6616.47+616.16+4000+36+127.44+4119.72+6085.42+8477.25+36+51.46+1389.83+1971.5+85369.37</f>
        <v>167436.15000000002</v>
      </c>
      <c r="H201" s="18">
        <f>769.7+5919.49+14017.5</f>
        <v>20706.689999999999</v>
      </c>
      <c r="I201" s="18">
        <f>352.94+300+29+745.56+3321.63</f>
        <v>4749.13</v>
      </c>
      <c r="J201" s="18">
        <f>390</f>
        <v>390</v>
      </c>
      <c r="K201" s="18">
        <f>4631.73</f>
        <v>4631.7299999999996</v>
      </c>
      <c r="L201" s="19">
        <f t="shared" ref="L201:L207" si="0">SUM(F201:K201)</f>
        <v>632130.17999999993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58534.06+41850.09+20685.22+592.44+36+110.74+3201.64+4913.26+24822.47</f>
        <v>154745.91999999998</v>
      </c>
      <c r="G202" s="18">
        <f>26229.24+926.41+36+126.76+4477.72+6871.96+11765.74</f>
        <v>50433.83</v>
      </c>
      <c r="H202" s="18">
        <f>100+29972+9667.12</f>
        <v>39739.120000000003</v>
      </c>
      <c r="I202" s="18">
        <f>752.04+5148.15+3308.51+1480+425+742.3+250</f>
        <v>12106</v>
      </c>
      <c r="J202" s="18">
        <f>934.43+9908.56+5000+1358.6+3086.8+1998.4+3070.19</f>
        <v>25356.98</v>
      </c>
      <c r="K202" s="18">
        <v>4517.55</v>
      </c>
      <c r="L202" s="19">
        <f t="shared" si="0"/>
        <v>286899.39999999997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89872.9</f>
        <v>89872.9</v>
      </c>
      <c r="G203" s="18">
        <v>38840.36</v>
      </c>
      <c r="H203" s="18">
        <v>27268.16</v>
      </c>
      <c r="I203" s="18">
        <v>1196.23</v>
      </c>
      <c r="J203" s="18">
        <v>1219.1600000000001</v>
      </c>
      <c r="K203" s="18">
        <v>6430.17</v>
      </c>
      <c r="L203" s="19">
        <f t="shared" si="0"/>
        <v>164826.98000000001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84999.98+35250.02+71000.04+57363.27+23969.65</f>
        <v>272582.95999999996</v>
      </c>
      <c r="G204" s="18">
        <f>59079.44+19228.22+2964.24+709.54+144+54+419.62+127.98+16322.31+4465.04+22675.72+6236.02</f>
        <v>132426.12999999998</v>
      </c>
      <c r="H204" s="18">
        <f>3273+4847.54+1500+500+270.25+395.84+606.2</f>
        <v>11392.830000000002</v>
      </c>
      <c r="I204" s="18">
        <f>2017.56+316.89+19.77</f>
        <v>2354.2199999999998</v>
      </c>
      <c r="J204" s="18">
        <f>14417.59+3953.91</f>
        <v>18371.5</v>
      </c>
      <c r="K204" s="18">
        <f>79+59.9</f>
        <v>138.9</v>
      </c>
      <c r="L204" s="19">
        <f t="shared" si="0"/>
        <v>437266.54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31730.82</v>
      </c>
      <c r="G205" s="18">
        <v>15413.45</v>
      </c>
      <c r="H205" s="18">
        <v>5653.4</v>
      </c>
      <c r="I205" s="18">
        <v>494.49</v>
      </c>
      <c r="J205" s="18"/>
      <c r="K205" s="18"/>
      <c r="L205" s="19">
        <f t="shared" si="0"/>
        <v>53292.160000000003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92743.81+69068</f>
        <v>161811.81</v>
      </c>
      <c r="G206" s="18">
        <f>29703.64+1326.32+132+204.76+8233.65+7695.68+28735.4</f>
        <v>76031.45</v>
      </c>
      <c r="H206" s="18">
        <f>524.16+2171.5+792.5+1152.5+12283+7573+1365+1365+3922.25+4313+7678.2+2651.78+45763.46+6228.17+250+125+260+50190.59+3969.26+5000.07</f>
        <v>157578.44</v>
      </c>
      <c r="I206" s="18">
        <f>16888.92+4934.31+55444.31+14816.03+117697.58+50000+30000+11422.95+248.49</f>
        <v>301452.59000000003</v>
      </c>
      <c r="J206" s="18"/>
      <c r="K206" s="18"/>
      <c r="L206" s="19">
        <f t="shared" si="0"/>
        <v>696874.29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199755+48000.9+46032.03+4669.87</f>
        <v>298457.8</v>
      </c>
      <c r="I207" s="18"/>
      <c r="J207" s="18"/>
      <c r="K207" s="18"/>
      <c r="L207" s="19">
        <f t="shared" si="0"/>
        <v>298457.8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3584395.2199999997</v>
      </c>
      <c r="G210" s="41">
        <f t="shared" si="1"/>
        <v>1631316.4000000001</v>
      </c>
      <c r="H210" s="41">
        <f t="shared" si="1"/>
        <v>618987.40999999992</v>
      </c>
      <c r="I210" s="41">
        <f t="shared" si="1"/>
        <v>390943.55000000005</v>
      </c>
      <c r="J210" s="41">
        <f t="shared" si="1"/>
        <v>51367.86</v>
      </c>
      <c r="K210" s="41">
        <f t="shared" si="1"/>
        <v>15838.349999999999</v>
      </c>
      <c r="L210" s="41">
        <f t="shared" si="1"/>
        <v>6292848.79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1243461.6+14432+43553+62525.02+160000</f>
        <v>1523971.62</v>
      </c>
      <c r="G214" s="18">
        <f>356595.62+10383.4+1080+2856.3+100585.04+144244.76+41601.07+34607.96</f>
        <v>691954.14999999991</v>
      </c>
      <c r="H214" s="18">
        <f>5233.18+220</f>
        <v>5453.18</v>
      </c>
      <c r="I214" s="18">
        <f>14995.1+1000.89+1552.45+796.2+1021.05+2952.63+2891.02+421.07+691.16+620.88+362.53+285.2+795.79+7303.37</f>
        <v>35689.340000000004</v>
      </c>
      <c r="J214" s="18">
        <f>898</f>
        <v>898</v>
      </c>
      <c r="K214" s="18">
        <f>2783</f>
        <v>2783</v>
      </c>
      <c r="L214" s="19">
        <f>SUM(F214:K214)</f>
        <v>2260749.29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290183.82+345852.92+4297+11190+17037.5+16001.53</f>
        <v>684562.77</v>
      </c>
      <c r="G215" s="18">
        <f>198936.47+2581.81+805.5+1389.22+50849.29+64594.68+1298.91</f>
        <v>320455.88</v>
      </c>
      <c r="H215" s="18">
        <f>273168.39+43243</f>
        <v>316411.39</v>
      </c>
      <c r="I215" s="18">
        <f>3633.93+2140</f>
        <v>5773.93</v>
      </c>
      <c r="J215" s="18">
        <f>2271.61+2500+431.2</f>
        <v>5202.8100000000004</v>
      </c>
      <c r="K215" s="18"/>
      <c r="L215" s="19">
        <f>SUM(F215:K215)</f>
        <v>1332406.78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12000+29300</f>
        <v>41300</v>
      </c>
      <c r="G217" s="18">
        <f>912.06+1160.8+2241.45+2728.38</f>
        <v>7042.69</v>
      </c>
      <c r="H217" s="18">
        <f>5942.5</f>
        <v>5942.5</v>
      </c>
      <c r="I217" s="18">
        <v>4858.84</v>
      </c>
      <c r="J217" s="18"/>
      <c r="K217" s="18"/>
      <c r="L217" s="19">
        <f>SUM(F217:K217)</f>
        <v>59144.03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72222.52+35249.94+16331.97+174522.46</f>
        <v>298326.89</v>
      </c>
      <c r="G219" s="18">
        <f>39818+1124.4+72+168.98+5515.79+8475.47+16803.78+37.5+86.53+2696.54+3983.32+85369.37</f>
        <v>164151.67999999999</v>
      </c>
      <c r="H219" s="18">
        <f>501.39+14017.5</f>
        <v>14518.89</v>
      </c>
      <c r="I219" s="18">
        <f>66.31+554.49+3321.63</f>
        <v>3942.4300000000003</v>
      </c>
      <c r="J219" s="18">
        <f>390</f>
        <v>390</v>
      </c>
      <c r="K219" s="18">
        <f>4631.73</f>
        <v>4631.7299999999996</v>
      </c>
      <c r="L219" s="19">
        <f t="shared" ref="L219:L225" si="2">SUM(F219:K219)</f>
        <v>485961.62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43300+315+37950.09+24822.47</f>
        <v>106387.56</v>
      </c>
      <c r="G220" s="18">
        <f>7426.02+171.87+36+102.36+3336.58+4892.87+7730.93+262.78+36+89.9+3209.16+4455.4+11765.74</f>
        <v>43515.61</v>
      </c>
      <c r="H220" s="18">
        <f>290.51+29972.01+9667.12</f>
        <v>39929.64</v>
      </c>
      <c r="I220" s="18">
        <f>718.98+5506.58+1992.5+1905+1045.19</f>
        <v>11168.25</v>
      </c>
      <c r="J220" s="18">
        <f>1000+9553.63+1337.12+2996.8+3070.19</f>
        <v>17957.739999999998</v>
      </c>
      <c r="K220" s="18">
        <f>9035.11/2</f>
        <v>4517.5550000000003</v>
      </c>
      <c r="L220" s="19">
        <f t="shared" si="2"/>
        <v>223476.35499999998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89872.9</v>
      </c>
      <c r="G221" s="18">
        <v>38840.36</v>
      </c>
      <c r="H221" s="18">
        <v>27268.16</v>
      </c>
      <c r="I221" s="18">
        <v>1196.23</v>
      </c>
      <c r="J221" s="18">
        <v>1219.1600000000001</v>
      </c>
      <c r="K221" s="18">
        <v>6430.17</v>
      </c>
      <c r="L221" s="19">
        <f t="shared" si="2"/>
        <v>164826.98000000001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f>84869.98+76020.07+59420.87</f>
        <v>220310.91999999998</v>
      </c>
      <c r="G222" s="18">
        <f>50592.72+2963.88+144+424.56+16853.75+23409.7</f>
        <v>94388.61</v>
      </c>
      <c r="H222" s="18">
        <f>1039+8541.13+1500</f>
        <v>11080.13</v>
      </c>
      <c r="I222" s="18">
        <f>1208.93</f>
        <v>1208.93</v>
      </c>
      <c r="J222" s="18">
        <f>20626</f>
        <v>20626</v>
      </c>
      <c r="K222" s="18">
        <f>575+1371.53</f>
        <v>1946.53</v>
      </c>
      <c r="L222" s="19">
        <f t="shared" si="2"/>
        <v>349561.12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31730.82</v>
      </c>
      <c r="G223" s="18">
        <v>15413.45</v>
      </c>
      <c r="H223" s="18">
        <v>5653.4</v>
      </c>
      <c r="I223" s="18">
        <v>494.49</v>
      </c>
      <c r="J223" s="18"/>
      <c r="K223" s="18"/>
      <c r="L223" s="19">
        <f t="shared" si="2"/>
        <v>53292.160000000003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96269.36+69067.99</f>
        <v>165337.35</v>
      </c>
      <c r="G224" s="18">
        <f>29703.69+1326.32+132+204.76+8077.7+8223.05+28735.4</f>
        <v>76402.919999999984</v>
      </c>
      <c r="H224" s="18">
        <f>257.05+912.5+20749+1365+2636.5+7532.35+40773.57+125+260+50190.59+3969.26+5000.07</f>
        <v>133770.88999999998</v>
      </c>
      <c r="I224" s="18">
        <f>24993.24+60000+1117.17</f>
        <v>86110.41</v>
      </c>
      <c r="J224" s="18"/>
      <c r="K224" s="18"/>
      <c r="L224" s="19">
        <f t="shared" si="2"/>
        <v>461621.56999999995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199755+63350.88+3964.42+6544.91</f>
        <v>273615.20999999996</v>
      </c>
      <c r="I225" s="18"/>
      <c r="J225" s="18"/>
      <c r="K225" s="18"/>
      <c r="L225" s="19">
        <f t="shared" si="2"/>
        <v>273615.20999999996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3161800.83</v>
      </c>
      <c r="G228" s="41">
        <f>SUM(G214:G227)</f>
        <v>1452165.35</v>
      </c>
      <c r="H228" s="41">
        <f>SUM(H214:H227)</f>
        <v>833643.39</v>
      </c>
      <c r="I228" s="41">
        <f>SUM(I214:I227)</f>
        <v>150442.85</v>
      </c>
      <c r="J228" s="41">
        <f>SUM(J214:J227)</f>
        <v>46293.71</v>
      </c>
      <c r="K228" s="41">
        <f t="shared" si="3"/>
        <v>20308.985000000001</v>
      </c>
      <c r="L228" s="41">
        <f t="shared" si="3"/>
        <v>5664655.1150000012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2436654.16+1162097.42+666520.51</f>
        <v>4265272.09</v>
      </c>
      <c r="I232" s="18"/>
      <c r="J232" s="18"/>
      <c r="K232" s="18"/>
      <c r="L232" s="19">
        <f>SUM(F232:K232)</f>
        <v>4265272.09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10148</f>
        <v>10148</v>
      </c>
      <c r="G233" s="18">
        <f>24+24.68+776.32</f>
        <v>825</v>
      </c>
      <c r="H233" s="18">
        <f>246110.41+83524.72</f>
        <v>329635.13</v>
      </c>
      <c r="I233" s="18"/>
      <c r="J233" s="18">
        <f>349.06+362.69</f>
        <v>711.75</v>
      </c>
      <c r="K233" s="18"/>
      <c r="L233" s="19">
        <f>SUM(F233:K233)</f>
        <v>341319.88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89872.9</v>
      </c>
      <c r="G239" s="18">
        <v>38840.36</v>
      </c>
      <c r="H239" s="18">
        <v>27268.16</v>
      </c>
      <c r="I239" s="18">
        <v>1196.23</v>
      </c>
      <c r="J239" s="18">
        <v>1219.1600000000001</v>
      </c>
      <c r="K239" s="18">
        <v>6430.17</v>
      </c>
      <c r="L239" s="19">
        <f t="shared" si="4"/>
        <v>164826.98000000001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31730.82</v>
      </c>
      <c r="G241" s="18">
        <v>15413.45</v>
      </c>
      <c r="H241" s="18">
        <v>5653.4</v>
      </c>
      <c r="I241" s="18">
        <v>494.49</v>
      </c>
      <c r="J241" s="18"/>
      <c r="K241" s="18"/>
      <c r="L241" s="19">
        <f t="shared" si="4"/>
        <v>53292.160000000003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159804+48271.11</f>
        <v>208075.11</v>
      </c>
      <c r="I243" s="18"/>
      <c r="J243" s="18"/>
      <c r="K243" s="18"/>
      <c r="L243" s="19">
        <f t="shared" si="4"/>
        <v>208075.11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131751.72</v>
      </c>
      <c r="G246" s="41">
        <f t="shared" si="5"/>
        <v>55078.81</v>
      </c>
      <c r="H246" s="41">
        <f t="shared" si="5"/>
        <v>4835903.8900000006</v>
      </c>
      <c r="I246" s="41">
        <f t="shared" si="5"/>
        <v>1690.72</v>
      </c>
      <c r="J246" s="41">
        <f t="shared" si="5"/>
        <v>1930.91</v>
      </c>
      <c r="K246" s="41">
        <f t="shared" si="5"/>
        <v>6430.17</v>
      </c>
      <c r="L246" s="41">
        <f t="shared" si="5"/>
        <v>5032786.2200000007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 t="s">
        <v>287</v>
      </c>
      <c r="I254" s="18"/>
      <c r="J254" s="18"/>
      <c r="K254" s="18">
        <v>13000</v>
      </c>
      <c r="L254" s="19">
        <f t="shared" si="6"/>
        <v>13000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13000</v>
      </c>
      <c r="L255" s="41">
        <f>SUM(F255:K255)</f>
        <v>13000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6877947.7699999996</v>
      </c>
      <c r="G256" s="41">
        <f t="shared" si="8"/>
        <v>3138560.56</v>
      </c>
      <c r="H256" s="41">
        <f t="shared" si="8"/>
        <v>6288534.6900000004</v>
      </c>
      <c r="I256" s="41">
        <f t="shared" si="8"/>
        <v>543077.12</v>
      </c>
      <c r="J256" s="41">
        <f t="shared" si="8"/>
        <v>99592.48000000001</v>
      </c>
      <c r="K256" s="41">
        <f t="shared" si="8"/>
        <v>55577.504999999997</v>
      </c>
      <c r="L256" s="41">
        <f t="shared" si="8"/>
        <v>17003290.125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710000</v>
      </c>
      <c r="L259" s="19">
        <f>SUM(F259:K259)</f>
        <v>710000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334410</v>
      </c>
      <c r="L260" s="19">
        <f>SUM(F260:K260)</f>
        <v>334410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90001</v>
      </c>
      <c r="L265" s="19">
        <f t="shared" si="9"/>
        <v>90001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1134411</v>
      </c>
      <c r="L269" s="41">
        <f t="shared" si="9"/>
        <v>1134411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6877947.7699999996</v>
      </c>
      <c r="G270" s="42">
        <f t="shared" si="11"/>
        <v>3138560.56</v>
      </c>
      <c r="H270" s="42">
        <f t="shared" si="11"/>
        <v>6288534.6900000004</v>
      </c>
      <c r="I270" s="42">
        <f t="shared" si="11"/>
        <v>543077.12</v>
      </c>
      <c r="J270" s="42">
        <f t="shared" si="11"/>
        <v>99592.48000000001</v>
      </c>
      <c r="K270" s="42">
        <f t="shared" si="11"/>
        <v>1189988.5049999999</v>
      </c>
      <c r="L270" s="42">
        <f t="shared" si="11"/>
        <v>18137701.125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62757.77+3500+700+1500</f>
        <v>68457.76999999999</v>
      </c>
      <c r="G275" s="18">
        <f>10484.61+4800.67+5728.54+472.11+267.76+395.5+53.62+2834.08+114.75</f>
        <v>25151.64</v>
      </c>
      <c r="H275" s="18">
        <f>10043+24401.93+250+30262.64+315</f>
        <v>65272.57</v>
      </c>
      <c r="I275" s="18">
        <f>1067.53+3585.32+1007.96+1500+10054.79+1290.62+1280.54</f>
        <v>19786.760000000002</v>
      </c>
      <c r="J275" s="18"/>
      <c r="K275" s="18"/>
      <c r="L275" s="19">
        <f>SUM(F275:K275)</f>
        <v>178668.74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143289.9+15900+5806.44+1500</f>
        <v>166496.34</v>
      </c>
      <c r="G276" s="18">
        <f>21935.5+1123.34+91.5+16.5+321.03+32.88+10914.2+444.21+1153.84+16492.24+1792.99+1052.17</f>
        <v>55370.399999999987</v>
      </c>
      <c r="H276" s="18">
        <f>26302.5+6369.59</f>
        <v>32672.09</v>
      </c>
      <c r="I276" s="18">
        <f>11925.13</f>
        <v>11925.13</v>
      </c>
      <c r="J276" s="18">
        <f>3000</f>
        <v>3000</v>
      </c>
      <c r="K276" s="18">
        <f>3450.76</f>
        <v>3450.76</v>
      </c>
      <c r="L276" s="19">
        <f>SUM(F276:K276)</f>
        <v>272914.71999999997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234954.11</v>
      </c>
      <c r="G289" s="42">
        <f t="shared" si="13"/>
        <v>80522.039999999979</v>
      </c>
      <c r="H289" s="42">
        <f t="shared" si="13"/>
        <v>97944.66</v>
      </c>
      <c r="I289" s="42">
        <f t="shared" si="13"/>
        <v>31711.89</v>
      </c>
      <c r="J289" s="42">
        <f t="shared" si="13"/>
        <v>3000</v>
      </c>
      <c r="K289" s="42">
        <f t="shared" si="13"/>
        <v>3450.76</v>
      </c>
      <c r="L289" s="41">
        <f t="shared" si="13"/>
        <v>451583.45999999996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234954.11</v>
      </c>
      <c r="G337" s="41">
        <f t="shared" si="20"/>
        <v>80522.039999999979</v>
      </c>
      <c r="H337" s="41">
        <f t="shared" si="20"/>
        <v>97944.66</v>
      </c>
      <c r="I337" s="41">
        <f t="shared" si="20"/>
        <v>31711.89</v>
      </c>
      <c r="J337" s="41">
        <f t="shared" si="20"/>
        <v>3000</v>
      </c>
      <c r="K337" s="41">
        <f t="shared" si="20"/>
        <v>3450.76</v>
      </c>
      <c r="L337" s="41">
        <f t="shared" si="20"/>
        <v>451583.45999999996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f>102+5224.53+1901.89</f>
        <v>7228.42</v>
      </c>
      <c r="L343" s="19">
        <f t="shared" ref="L343:L349" si="21">SUM(F343:K343)</f>
        <v>7228.42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 t="s">
        <v>287</v>
      </c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7228.42</v>
      </c>
      <c r="L350" s="41">
        <f>SUM(L340:L349)</f>
        <v>7228.42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234954.11</v>
      </c>
      <c r="G351" s="41">
        <f>G337</f>
        <v>80522.039999999979</v>
      </c>
      <c r="H351" s="41">
        <f>H337</f>
        <v>97944.66</v>
      </c>
      <c r="I351" s="41">
        <f>I337</f>
        <v>31711.89</v>
      </c>
      <c r="J351" s="41">
        <f>J337</f>
        <v>3000</v>
      </c>
      <c r="K351" s="47">
        <f>K337+K350</f>
        <v>10679.18</v>
      </c>
      <c r="L351" s="41">
        <f>L337+L350</f>
        <v>458811.87999999995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f>SUM(285786+1818.9)/2</f>
        <v>143802.45000000001</v>
      </c>
      <c r="I357" s="18"/>
      <c r="J357" s="18"/>
      <c r="K357" s="18">
        <f>188.84/2</f>
        <v>94.42</v>
      </c>
      <c r="L357" s="13">
        <f>SUM(F357:K357)</f>
        <v>143896.87000000002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>
        <f>SUM(285786+1818.9)/2</f>
        <v>143802.45000000001</v>
      </c>
      <c r="I358" s="18"/>
      <c r="J358" s="18"/>
      <c r="K358" s="18">
        <f>188.84/2</f>
        <v>94.42</v>
      </c>
      <c r="L358" s="19">
        <f>SUM(F358:K358)</f>
        <v>143896.87000000002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 t="s">
        <v>287</v>
      </c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287604.90000000002</v>
      </c>
      <c r="I361" s="47">
        <f t="shared" si="22"/>
        <v>0</v>
      </c>
      <c r="J361" s="47">
        <f t="shared" si="22"/>
        <v>0</v>
      </c>
      <c r="K361" s="47">
        <f t="shared" si="22"/>
        <v>188.84</v>
      </c>
      <c r="L361" s="47">
        <f t="shared" si="22"/>
        <v>287793.74000000005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 t="s">
        <v>287</v>
      </c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>
        <v>90001</v>
      </c>
      <c r="H387" s="18">
        <v>683.16</v>
      </c>
      <c r="I387" s="18"/>
      <c r="J387" s="24" t="s">
        <v>289</v>
      </c>
      <c r="K387" s="24" t="s">
        <v>289</v>
      </c>
      <c r="L387" s="56">
        <f t="shared" si="25"/>
        <v>90684.160000000003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90001</v>
      </c>
      <c r="H392" s="139">
        <f>SUM(H386:H391)</f>
        <v>683.16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90684.160000000003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 t="s">
        <v>287</v>
      </c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90001</v>
      </c>
      <c r="H407" s="47">
        <f>H392+H400+H406</f>
        <v>683.16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90684.160000000003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>
        <v>90001</v>
      </c>
      <c r="I413" s="18"/>
      <c r="J413" s="18"/>
      <c r="K413" s="18">
        <v>13000</v>
      </c>
      <c r="L413" s="56">
        <f t="shared" si="27"/>
        <v>103001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90001</v>
      </c>
      <c r="I418" s="139">
        <f t="shared" si="28"/>
        <v>0</v>
      </c>
      <c r="J418" s="139">
        <f t="shared" si="28"/>
        <v>0</v>
      </c>
      <c r="K418" s="139">
        <f t="shared" si="28"/>
        <v>13000</v>
      </c>
      <c r="L418" s="47">
        <f t="shared" si="28"/>
        <v>103001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>
        <v>508250.79</v>
      </c>
      <c r="L421" s="56">
        <f t="shared" si="29"/>
        <v>508250.79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508250.79</v>
      </c>
      <c r="L426" s="47">
        <f t="shared" si="30"/>
        <v>508250.79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90001</v>
      </c>
      <c r="I433" s="47">
        <f t="shared" si="32"/>
        <v>0</v>
      </c>
      <c r="J433" s="47">
        <f t="shared" si="32"/>
        <v>0</v>
      </c>
      <c r="K433" s="47">
        <f t="shared" si="32"/>
        <v>521250.79</v>
      </c>
      <c r="L433" s="47">
        <f t="shared" si="32"/>
        <v>611251.79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465073.13</v>
      </c>
      <c r="G439" s="18"/>
      <c r="H439" s="18"/>
      <c r="I439" s="56">
        <f t="shared" si="33"/>
        <v>465073.13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 t="s">
        <v>287</v>
      </c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465073.13</v>
      </c>
      <c r="G445" s="13">
        <f>SUM(G438:G444)</f>
        <v>0</v>
      </c>
      <c r="H445" s="13">
        <f>SUM(H438:H444)</f>
        <v>0</v>
      </c>
      <c r="I445" s="13">
        <f>SUM(I438:I444)</f>
        <v>465073.13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465073.13</v>
      </c>
      <c r="G458" s="18"/>
      <c r="H458" s="18"/>
      <c r="I458" s="56">
        <f t="shared" si="34"/>
        <v>465073.13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465073.13</v>
      </c>
      <c r="G459" s="83">
        <f>SUM(G453:G458)</f>
        <v>0</v>
      </c>
      <c r="H459" s="83">
        <f>SUM(H453:H458)</f>
        <v>0</v>
      </c>
      <c r="I459" s="83">
        <f>SUM(I453:I458)</f>
        <v>465073.13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465073.13</v>
      </c>
      <c r="G460" s="42">
        <f>G451+G459</f>
        <v>0</v>
      </c>
      <c r="H460" s="42">
        <f>H451+H459</f>
        <v>0</v>
      </c>
      <c r="I460" s="42">
        <f>I451+I459</f>
        <v>465073.13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864547.2</v>
      </c>
      <c r="G464" s="18">
        <v>0</v>
      </c>
      <c r="H464" s="18">
        <v>66349.100000000006</v>
      </c>
      <c r="I464" s="18">
        <v>0</v>
      </c>
      <c r="J464" s="18">
        <v>985640.76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18570713.189999998</v>
      </c>
      <c r="G467" s="18">
        <f>292197.39</f>
        <v>292197.39</v>
      </c>
      <c r="H467" s="18">
        <v>450357.05</v>
      </c>
      <c r="I467" s="18"/>
      <c r="J467" s="18">
        <f>683.16+90001</f>
        <v>90684.160000000003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18570713.189999998</v>
      </c>
      <c r="G469" s="53">
        <f>SUM(G467:G468)</f>
        <v>292197.39</v>
      </c>
      <c r="H469" s="53">
        <f>SUM(H467:H468)</f>
        <v>450357.05</v>
      </c>
      <c r="I469" s="53">
        <f>SUM(I467:I468)</f>
        <v>0</v>
      </c>
      <c r="J469" s="53">
        <f>SUM(J467:J468)</f>
        <v>90684.160000000003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17658484.21+389215.91+90001</f>
        <v>18137701.120000001</v>
      </c>
      <c r="G471" s="18">
        <v>287793.74</v>
      </c>
      <c r="H471" s="18">
        <v>458811.88</v>
      </c>
      <c r="I471" s="18"/>
      <c r="J471" s="18">
        <f>508250.79+90001+13000</f>
        <v>611251.79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 t="s">
        <v>287</v>
      </c>
      <c r="G472" s="18"/>
      <c r="H472" s="18"/>
      <c r="I472" s="18"/>
      <c r="J472" s="18" t="s">
        <v>287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18137701.120000001</v>
      </c>
      <c r="G473" s="53">
        <f>SUM(G471:G472)</f>
        <v>287793.74</v>
      </c>
      <c r="H473" s="53">
        <f>SUM(H471:H472)</f>
        <v>458811.88</v>
      </c>
      <c r="I473" s="53">
        <f>SUM(I471:I472)</f>
        <v>0</v>
      </c>
      <c r="J473" s="53">
        <f>SUM(J471:J472)</f>
        <v>611251.79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1297559.2699999958</v>
      </c>
      <c r="G475" s="53">
        <f>(G464+G469)- G473</f>
        <v>4403.6500000000233</v>
      </c>
      <c r="H475" s="53">
        <f>(H464+H469)- H473</f>
        <v>57894.270000000019</v>
      </c>
      <c r="I475" s="53">
        <f>(I464+I469)- I473</f>
        <v>0</v>
      </c>
      <c r="J475" s="53">
        <f>(J464+J469)- J473</f>
        <v>465073.12999999989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14144129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3.7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7100000</v>
      </c>
      <c r="G494" s="18"/>
      <c r="H494" s="18"/>
      <c r="I494" s="18"/>
      <c r="J494" s="18"/>
      <c r="K494" s="53">
        <f>SUM(F494:J494)</f>
        <v>7100000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 t="s">
        <v>287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710000</v>
      </c>
      <c r="G496" s="18"/>
      <c r="H496" s="18"/>
      <c r="I496" s="18"/>
      <c r="J496" s="18"/>
      <c r="K496" s="53">
        <f t="shared" si="35"/>
        <v>710000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6390000</v>
      </c>
      <c r="G497" s="204"/>
      <c r="H497" s="204"/>
      <c r="I497" s="204"/>
      <c r="J497" s="204"/>
      <c r="K497" s="205">
        <f t="shared" si="35"/>
        <v>6390000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1650927.5</v>
      </c>
      <c r="G498" s="18"/>
      <c r="H498" s="18"/>
      <c r="I498" s="18"/>
      <c r="J498" s="18"/>
      <c r="K498" s="53">
        <f t="shared" si="35"/>
        <v>1650927.5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8040927.5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8040927.5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710000</v>
      </c>
      <c r="G500" s="204"/>
      <c r="H500" s="204"/>
      <c r="I500" s="204"/>
      <c r="J500" s="204"/>
      <c r="K500" s="205">
        <f t="shared" si="35"/>
        <v>710000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305300</v>
      </c>
      <c r="G501" s="18"/>
      <c r="H501" s="18"/>
      <c r="I501" s="18"/>
      <c r="J501" s="18"/>
      <c r="K501" s="53">
        <f t="shared" si="35"/>
        <v>305300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1015300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1015300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756980.84+166496.34</f>
        <v>923477.17999999993</v>
      </c>
      <c r="G520" s="18">
        <f>367524.59+55370.4</f>
        <v>422894.99000000005</v>
      </c>
      <c r="H520" s="18">
        <f>54485.3+32672.09</f>
        <v>87157.39</v>
      </c>
      <c r="I520" s="18">
        <f>8502.57+11925.13</f>
        <v>20427.699999999997</v>
      </c>
      <c r="J520" s="18">
        <f>6030.22+3000</f>
        <v>9030.2200000000012</v>
      </c>
      <c r="K520" s="18">
        <f>4631.73+3450.76</f>
        <v>8082.49</v>
      </c>
      <c r="L520" s="88">
        <f>SUM(F520:K520)</f>
        <v>1471069.9699999997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684562.77</f>
        <v>684562.77</v>
      </c>
      <c r="G521" s="18">
        <v>320455.88</v>
      </c>
      <c r="H521" s="18">
        <f>316411.39</f>
        <v>316411.39</v>
      </c>
      <c r="I521" s="18">
        <f>5773.93</f>
        <v>5773.93</v>
      </c>
      <c r="J521" s="18">
        <f>5202.81</f>
        <v>5202.8100000000004</v>
      </c>
      <c r="K521" s="18">
        <f>4631.73</f>
        <v>4631.7299999999996</v>
      </c>
      <c r="L521" s="88">
        <f>SUM(F521:K521)</f>
        <v>1337038.51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10148</v>
      </c>
      <c r="G522" s="18">
        <v>825</v>
      </c>
      <c r="H522" s="18">
        <v>329635.13</v>
      </c>
      <c r="I522" s="18"/>
      <c r="J522" s="18">
        <v>711.75</v>
      </c>
      <c r="K522" s="18"/>
      <c r="L522" s="88">
        <f>SUM(F522:K522)</f>
        <v>341319.88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1618187.95</v>
      </c>
      <c r="G523" s="108">
        <f t="shared" ref="G523:L523" si="36">SUM(G520:G522)</f>
        <v>744175.87000000011</v>
      </c>
      <c r="H523" s="108">
        <f t="shared" si="36"/>
        <v>733203.91</v>
      </c>
      <c r="I523" s="108">
        <f t="shared" si="36"/>
        <v>26201.629999999997</v>
      </c>
      <c r="J523" s="108">
        <f t="shared" si="36"/>
        <v>14944.780000000002</v>
      </c>
      <c r="K523" s="108">
        <f t="shared" si="36"/>
        <v>12714.22</v>
      </c>
      <c r="L523" s="89">
        <f t="shared" si="36"/>
        <v>3149428.3599999994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434216.48</f>
        <v>434216.48</v>
      </c>
      <c r="G525" s="18">
        <f>167436.15</f>
        <v>167436.15</v>
      </c>
      <c r="H525" s="18">
        <f>20706.69</f>
        <v>20706.689999999999</v>
      </c>
      <c r="I525" s="18">
        <f>4749.13</f>
        <v>4749.13</v>
      </c>
      <c r="J525" s="18">
        <f>390</f>
        <v>390</v>
      </c>
      <c r="K525" s="18"/>
      <c r="L525" s="88">
        <f>SUM(F525:K525)</f>
        <v>627498.44999999995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298326.89</f>
        <v>298326.89</v>
      </c>
      <c r="G526" s="18">
        <f>164151.68</f>
        <v>164151.67999999999</v>
      </c>
      <c r="H526" s="18">
        <f>14518.89</f>
        <v>14518.89</v>
      </c>
      <c r="I526" s="18">
        <f>3942.43</f>
        <v>3942.43</v>
      </c>
      <c r="J526" s="18">
        <f>390</f>
        <v>390</v>
      </c>
      <c r="K526" s="18"/>
      <c r="L526" s="88">
        <f>SUM(F526:K526)</f>
        <v>481329.89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732543.37</v>
      </c>
      <c r="G528" s="89">
        <f t="shared" ref="G528:L528" si="37">SUM(G525:G527)</f>
        <v>331587.82999999996</v>
      </c>
      <c r="H528" s="89">
        <f t="shared" si="37"/>
        <v>35225.58</v>
      </c>
      <c r="I528" s="89">
        <f t="shared" si="37"/>
        <v>8691.56</v>
      </c>
      <c r="J528" s="89">
        <f t="shared" si="37"/>
        <v>780</v>
      </c>
      <c r="K528" s="89">
        <f t="shared" si="37"/>
        <v>0</v>
      </c>
      <c r="L528" s="89">
        <f t="shared" si="37"/>
        <v>1108828.3399999999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SUM(88957.96+34944)/3</f>
        <v>41300.653333333335</v>
      </c>
      <c r="G530" s="18">
        <f>SUM(9478.5+13344.24+35000+2000)/3</f>
        <v>19940.913333333334</v>
      </c>
      <c r="H530" s="18"/>
      <c r="I530" s="18"/>
      <c r="J530" s="18"/>
      <c r="K530" s="18"/>
      <c r="L530" s="88">
        <f>SUM(F530:K530)</f>
        <v>61241.566666666666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f>SUM(88957.96+34944)/3</f>
        <v>41300.653333333335</v>
      </c>
      <c r="G531" s="18">
        <f>SUM(9478.5+13344.24+35000+2000)/3</f>
        <v>19940.913333333334</v>
      </c>
      <c r="H531" s="18"/>
      <c r="I531" s="18"/>
      <c r="J531" s="18"/>
      <c r="K531" s="18"/>
      <c r="L531" s="88">
        <f>SUM(F531:K531)</f>
        <v>61241.566666666666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f>SUM(88957.96+34944)/3</f>
        <v>41300.653333333335</v>
      </c>
      <c r="G532" s="18">
        <f>SUM(9478.5+13344.24+35000+2000)/3</f>
        <v>19940.913333333334</v>
      </c>
      <c r="H532" s="18"/>
      <c r="I532" s="18"/>
      <c r="J532" s="18"/>
      <c r="K532" s="18"/>
      <c r="L532" s="88">
        <f>SUM(F532:K532)</f>
        <v>61241.566666666666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123901.96</v>
      </c>
      <c r="G533" s="89">
        <f t="shared" ref="G533:L533" si="38">SUM(G530:G532)</f>
        <v>59822.740000000005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183724.7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f>50365.6/3</f>
        <v>16788.533333333333</v>
      </c>
      <c r="I535" s="18"/>
      <c r="J535" s="18"/>
      <c r="K535" s="18"/>
      <c r="L535" s="88">
        <f>SUM(F535:K535)</f>
        <v>16788.533333333333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f>50365.6/3</f>
        <v>16788.533333333333</v>
      </c>
      <c r="I536" s="18"/>
      <c r="J536" s="18"/>
      <c r="K536" s="18"/>
      <c r="L536" s="88">
        <f>SUM(F536:K536)</f>
        <v>16788.533333333333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f>50365.6/3</f>
        <v>16788.533333333333</v>
      </c>
      <c r="I537" s="18"/>
      <c r="J537" s="18"/>
      <c r="K537" s="18"/>
      <c r="L537" s="88">
        <f>SUM(F537:K537)</f>
        <v>16788.533333333333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50365.599999999999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50365.599999999999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48000.9+46032.03</f>
        <v>94032.93</v>
      </c>
      <c r="I540" s="18"/>
      <c r="J540" s="18"/>
      <c r="K540" s="18"/>
      <c r="L540" s="88">
        <f>SUM(F540:K540)</f>
        <v>94032.93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63350.879999999997</v>
      </c>
      <c r="I541" s="18"/>
      <c r="J541" s="18"/>
      <c r="K541" s="18"/>
      <c r="L541" s="88">
        <f>SUM(F541:K541)</f>
        <v>63350.879999999997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48271.11</v>
      </c>
      <c r="I542" s="18"/>
      <c r="J542" s="18"/>
      <c r="K542" s="18"/>
      <c r="L542" s="88">
        <f>SUM(F542:K542)</f>
        <v>48271.11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205654.91999999998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205654.91999999998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2474633.2799999998</v>
      </c>
      <c r="G544" s="89">
        <f t="shared" ref="G544:L544" si="41">G523+G528+G533+G538+G543</f>
        <v>1135586.4400000002</v>
      </c>
      <c r="H544" s="89">
        <f t="shared" si="41"/>
        <v>1024450.01</v>
      </c>
      <c r="I544" s="89">
        <f t="shared" si="41"/>
        <v>34893.189999999995</v>
      </c>
      <c r="J544" s="89">
        <f t="shared" si="41"/>
        <v>15724.780000000002</v>
      </c>
      <c r="K544" s="89">
        <f t="shared" si="41"/>
        <v>12714.22</v>
      </c>
      <c r="L544" s="89">
        <f t="shared" si="41"/>
        <v>4698001.919999999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1471069.9699999997</v>
      </c>
      <c r="G548" s="87">
        <f>L525</f>
        <v>627498.44999999995</v>
      </c>
      <c r="H548" s="87">
        <f>L530</f>
        <v>61241.566666666666</v>
      </c>
      <c r="I548" s="87">
        <f>L535</f>
        <v>16788.533333333333</v>
      </c>
      <c r="J548" s="87">
        <f>L540</f>
        <v>94032.93</v>
      </c>
      <c r="K548" s="87">
        <f>SUM(F548:J548)</f>
        <v>2270631.4500000002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1337038.51</v>
      </c>
      <c r="G549" s="87">
        <f>L526</f>
        <v>481329.89</v>
      </c>
      <c r="H549" s="87">
        <f>L531</f>
        <v>61241.566666666666</v>
      </c>
      <c r="I549" s="87">
        <f>L536</f>
        <v>16788.533333333333</v>
      </c>
      <c r="J549" s="87">
        <f>L541</f>
        <v>63350.879999999997</v>
      </c>
      <c r="K549" s="87">
        <f>SUM(F549:J549)</f>
        <v>1959749.38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341319.88</v>
      </c>
      <c r="G550" s="87">
        <f>L527</f>
        <v>0</v>
      </c>
      <c r="H550" s="87">
        <f>L532</f>
        <v>61241.566666666666</v>
      </c>
      <c r="I550" s="87">
        <f>L537</f>
        <v>16788.533333333333</v>
      </c>
      <c r="J550" s="87">
        <f>L542</f>
        <v>48271.11</v>
      </c>
      <c r="K550" s="87">
        <f>SUM(F550:J550)</f>
        <v>467621.08999999997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3149428.3599999994</v>
      </c>
      <c r="G551" s="89">
        <f t="shared" si="42"/>
        <v>1108828.3399999999</v>
      </c>
      <c r="H551" s="89">
        <f t="shared" si="42"/>
        <v>183724.7</v>
      </c>
      <c r="I551" s="89">
        <f t="shared" si="42"/>
        <v>50365.599999999999</v>
      </c>
      <c r="J551" s="89">
        <f t="shared" si="42"/>
        <v>205654.91999999998</v>
      </c>
      <c r="K551" s="89">
        <f t="shared" si="42"/>
        <v>4698001.92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f>2436654.16+666520.51</f>
        <v>3103174.67</v>
      </c>
      <c r="I574" s="87">
        <f>SUM(F574:H574)</f>
        <v>3103174.67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f>1162097.42</f>
        <v>1162097.42</v>
      </c>
      <c r="I576" s="87">
        <f t="shared" si="47"/>
        <v>1162097.42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 t="s">
        <v>287</v>
      </c>
      <c r="G578" s="18" t="s">
        <v>287</v>
      </c>
      <c r="H578" s="18" t="s">
        <v>287</v>
      </c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11242.3</v>
      </c>
      <c r="G581" s="18">
        <v>273168.39</v>
      </c>
      <c r="H581" s="18">
        <v>329635.13</v>
      </c>
      <c r="I581" s="87">
        <f t="shared" si="47"/>
        <v>614045.82000000007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199755</v>
      </c>
      <c r="I590" s="18">
        <v>199755</v>
      </c>
      <c r="J590" s="18">
        <v>159804</v>
      </c>
      <c r="K590" s="104">
        <f t="shared" ref="K590:K596" si="48">SUM(H590:J590)</f>
        <v>559314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48000.9+46032.03</f>
        <v>94032.93</v>
      </c>
      <c r="I591" s="18">
        <v>63350.879999999997</v>
      </c>
      <c r="J591" s="18">
        <v>48271.11</v>
      </c>
      <c r="K591" s="104">
        <f t="shared" si="48"/>
        <v>205654.91999999998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6544.91</v>
      </c>
      <c r="J593" s="18"/>
      <c r="K593" s="104">
        <f t="shared" si="48"/>
        <v>6544.91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4669.87</v>
      </c>
      <c r="I594" s="18">
        <v>3964.42</v>
      </c>
      <c r="J594" s="18"/>
      <c r="K594" s="104">
        <f t="shared" si="48"/>
        <v>8634.2900000000009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298457.8</v>
      </c>
      <c r="I597" s="108">
        <f>SUM(I590:I596)</f>
        <v>273615.20999999996</v>
      </c>
      <c r="J597" s="108">
        <f>SUM(J590:J596)</f>
        <v>208075.11</v>
      </c>
      <c r="K597" s="108">
        <f>SUM(K590:K596)</f>
        <v>780148.12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3000+2894.53+91.95+1916.54+696+390+934.43+3070.19+9908.55+5000+1358.6+3086.8+1998.4+1828.75+14417.59+3953.9</f>
        <v>54546.23</v>
      </c>
      <c r="I603" s="18">
        <f>898+2271.61+2500+862.4+390+1000+3070.19+9553.63+1337.12+2996.8+1828.75+20626</f>
        <v>47334.5</v>
      </c>
      <c r="J603" s="18">
        <f>349.06+362.69</f>
        <v>711.75</v>
      </c>
      <c r="K603" s="104">
        <f>SUM(H603:J603)</f>
        <v>102592.48000000001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54546.23</v>
      </c>
      <c r="I604" s="108">
        <f>SUM(I601:I603)</f>
        <v>47334.5</v>
      </c>
      <c r="J604" s="108">
        <f>SUM(J601:J603)</f>
        <v>711.75</v>
      </c>
      <c r="K604" s="108">
        <f>SUM(K601:K603)</f>
        <v>102592.48000000001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1768426.25</v>
      </c>
      <c r="H616" s="109">
        <f>SUM(F51)</f>
        <v>1768426.25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4403.6499999999996</v>
      </c>
      <c r="H617" s="109">
        <f>SUM(G51)</f>
        <v>4403.6499999999996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57894.27</v>
      </c>
      <c r="H618" s="109">
        <f>SUM(H51)</f>
        <v>57894.27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465073.13</v>
      </c>
      <c r="H620" s="109">
        <f>SUM(J51)</f>
        <v>465073.13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1297559.27</v>
      </c>
      <c r="H621" s="109">
        <f>F475</f>
        <v>1297559.2699999958</v>
      </c>
      <c r="I621" s="121" t="s">
        <v>101</v>
      </c>
      <c r="J621" s="109">
        <f t="shared" ref="J621:J654" si="50">G621-H621</f>
        <v>4.1909515857696533E-9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4403.6499999999996</v>
      </c>
      <c r="H622" s="109">
        <f>G475</f>
        <v>4403.6500000000233</v>
      </c>
      <c r="I622" s="121" t="s">
        <v>102</v>
      </c>
      <c r="J622" s="109">
        <f t="shared" si="50"/>
        <v>-2.3646862246096134E-11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57894.27</v>
      </c>
      <c r="H623" s="109">
        <f>H475</f>
        <v>57894.270000000019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465073.13</v>
      </c>
      <c r="H625" s="109">
        <f>J475</f>
        <v>465073.12999999989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18570713.189999998</v>
      </c>
      <c r="H626" s="104">
        <f>SUM(F467)</f>
        <v>18570713.189999998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292197.39</v>
      </c>
      <c r="H627" s="104">
        <f>SUM(G467)</f>
        <v>292197.39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450357.05</v>
      </c>
      <c r="H628" s="104">
        <f>SUM(H467)</f>
        <v>450357.05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90684.160000000003</v>
      </c>
      <c r="H630" s="104">
        <f>SUM(J467)</f>
        <v>90684.160000000003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18137701.125</v>
      </c>
      <c r="H631" s="104">
        <f>SUM(F471)</f>
        <v>18137701.120000001</v>
      </c>
      <c r="I631" s="140" t="s">
        <v>111</v>
      </c>
      <c r="J631" s="109">
        <f t="shared" si="50"/>
        <v>4.9999989569187164E-3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458811.87999999995</v>
      </c>
      <c r="H632" s="104">
        <f>SUM(H471)</f>
        <v>458811.88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287793.74000000005</v>
      </c>
      <c r="H634" s="104">
        <f>SUM(G471)</f>
        <v>287793.74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90684.160000000003</v>
      </c>
      <c r="H636" s="164">
        <f>SUM(J467)</f>
        <v>90684.160000000003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611251.79</v>
      </c>
      <c r="H637" s="164">
        <f>SUM(J471)</f>
        <v>611251.79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465073.13</v>
      </c>
      <c r="H638" s="104">
        <f>SUM(F460)</f>
        <v>465073.13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465073.13</v>
      </c>
      <c r="H641" s="104">
        <f>SUM(I460)</f>
        <v>465073.13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683.16</v>
      </c>
      <c r="H643" s="104">
        <f>H407</f>
        <v>683.16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90001</v>
      </c>
      <c r="H644" s="104">
        <f>G407</f>
        <v>90001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90684.160000000003</v>
      </c>
      <c r="H645" s="104">
        <f>L407</f>
        <v>90684.160000000003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780148.12</v>
      </c>
      <c r="H646" s="104">
        <f>L207+L225+L243</f>
        <v>780148.12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102592.48000000001</v>
      </c>
      <c r="H647" s="104">
        <f>(J256+J337)-(J254+J335)</f>
        <v>102592.48000000001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298457.8</v>
      </c>
      <c r="H648" s="104">
        <f>H597</f>
        <v>298457.8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273615.20999999996</v>
      </c>
      <c r="H649" s="104">
        <f>I597</f>
        <v>273615.20999999996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208075.11</v>
      </c>
      <c r="H650" s="104">
        <f>J597</f>
        <v>208075.11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90001</v>
      </c>
      <c r="H654" s="104">
        <f>K265+K346</f>
        <v>90001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4.999995231628418E-3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6888329.1200000001</v>
      </c>
      <c r="G659" s="19">
        <f>(L228+L308+L358)</f>
        <v>5808551.9850000013</v>
      </c>
      <c r="H659" s="19">
        <f>(L246+L327+L359)</f>
        <v>5032786.2200000007</v>
      </c>
      <c r="I659" s="19">
        <f>SUM(F659:H659)</f>
        <v>17729667.325000003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97289.9</v>
      </c>
      <c r="G660" s="19">
        <f>(L358/IF(SUM(L357:L359)=0,1,SUM(L357:L359))*(SUM(G96:G109)))</f>
        <v>97289.9</v>
      </c>
      <c r="H660" s="19">
        <f>(L359/IF(SUM(L357:L359)=0,1,SUM(L357:L359))*(SUM(G96:G109)))</f>
        <v>0</v>
      </c>
      <c r="I660" s="19">
        <f>SUM(F660:H660)</f>
        <v>194579.8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298457.8</v>
      </c>
      <c r="G661" s="19">
        <f>(L225+L305)-(J225+J305)</f>
        <v>273615.20999999996</v>
      </c>
      <c r="H661" s="19">
        <f>(L243+L324)-(J243+J324)</f>
        <v>208075.11</v>
      </c>
      <c r="I661" s="19">
        <f>SUM(F661:H661)</f>
        <v>780148.12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65788.53</v>
      </c>
      <c r="G662" s="199">
        <f>SUM(G574:G586)+SUM(I601:I603)+L611</f>
        <v>320502.89</v>
      </c>
      <c r="H662" s="199">
        <f>SUM(H574:H586)+SUM(J601:J603)+L612</f>
        <v>4595618.97</v>
      </c>
      <c r="I662" s="19">
        <f>SUM(F662:H662)</f>
        <v>4981910.3899999997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6426792.8900000006</v>
      </c>
      <c r="G663" s="19">
        <f>G659-SUM(G660:G662)</f>
        <v>5117143.9850000013</v>
      </c>
      <c r="H663" s="19">
        <f>H659-SUM(H660:H662)</f>
        <v>229092.1400000006</v>
      </c>
      <c r="I663" s="19">
        <f>I659-SUM(I660:I662)</f>
        <v>11773029.015000004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485.92</v>
      </c>
      <c r="G664" s="248">
        <v>446.88</v>
      </c>
      <c r="H664" s="248">
        <v>0</v>
      </c>
      <c r="I664" s="19">
        <f>SUM(F664:H664)</f>
        <v>932.8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13226.03</v>
      </c>
      <c r="G666" s="19">
        <f>ROUND(G663/G664,2)</f>
        <v>11450.82</v>
      </c>
      <c r="H666" s="19" t="e">
        <f>ROUND(H663/H664,2)</f>
        <v>#DIV/0!</v>
      </c>
      <c r="I666" s="19">
        <f>ROUND(I663/I664,2)</f>
        <v>12621.17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-229092</v>
      </c>
      <c r="I668" s="19">
        <f>SUM(F668:H668)</f>
        <v>-229092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13226.03</v>
      </c>
      <c r="G671" s="19">
        <f>ROUND((G663+G668)/(G664+G669),2)</f>
        <v>11450.82</v>
      </c>
      <c r="H671" s="19" t="e">
        <f>ROUND((H663+H668)/(H664+H669),2)</f>
        <v>#DIV/0!</v>
      </c>
      <c r="I671" s="19">
        <f>ROUND((I663+I668)/(I664+I669),2)</f>
        <v>12375.58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75" orientation="landscape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19"/>
  <extLst>
    <ext xmlns:mx="http://schemas.microsoft.com/office/mac/excel/2008/main" uri="{64002731-A6B0-56B0-2670-7721B7C09600}">
      <mx:PLV Mode="0" OnePage="0" WScale="9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zoomScale="150" zoomScaleNormal="150" zoomScalePageLayoutView="150" workbookViewId="0">
      <selection activeCell="B11" sqref="B11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3" t="s">
        <v>785</v>
      </c>
      <c r="B1" s="232" t="str">
        <f>'DOE25'!A2</f>
        <v>Barrington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3274882.8800000004</v>
      </c>
      <c r="C9" s="229">
        <f>'DOE25'!G196+'DOE25'!G214+'DOE25'!G232+'DOE25'!G275+'DOE25'!G294+'DOE25'!G313</f>
        <v>1500316.2299999997</v>
      </c>
    </row>
    <row r="10" spans="1:3" x14ac:dyDescent="0.2">
      <c r="A10" t="s">
        <v>779</v>
      </c>
      <c r="B10" s="240">
        <v>3010095.66</v>
      </c>
      <c r="C10" s="240">
        <v>1278036.18</v>
      </c>
    </row>
    <row r="11" spans="1:3" x14ac:dyDescent="0.2">
      <c r="A11" t="s">
        <v>780</v>
      </c>
      <c r="B11" s="240">
        <f>77969.2+14432+68457.77</f>
        <v>160858.97</v>
      </c>
      <c r="C11" s="240">
        <f>25151.64+58363.88+96238.04+16793.25</f>
        <v>196546.81</v>
      </c>
    </row>
    <row r="12" spans="1:3" x14ac:dyDescent="0.2">
      <c r="A12" t="s">
        <v>781</v>
      </c>
      <c r="B12" s="240">
        <f>10506+43349.5+6519.75+43553</f>
        <v>103928.25</v>
      </c>
      <c r="C12" s="240">
        <f>13549.97+12183.27</f>
        <v>25733.239999999998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3274882.8800000004</v>
      </c>
      <c r="C13" s="231">
        <f>SUM(C10:C12)</f>
        <v>1500316.23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1618187.95</v>
      </c>
      <c r="C18" s="229">
        <f>'DOE25'!G197+'DOE25'!G215+'DOE25'!G233+'DOE25'!G276+'DOE25'!G295+'DOE25'!G314</f>
        <v>744175.87000000011</v>
      </c>
    </row>
    <row r="19" spans="1:3" x14ac:dyDescent="0.2">
      <c r="A19" t="s">
        <v>779</v>
      </c>
      <c r="B19" s="240">
        <f>166496.34+248714.05+32171.28+290183.82</f>
        <v>737565.49</v>
      </c>
      <c r="C19" s="240">
        <f>197141.11+37522.66+198936.47+3063.46+2581.81+958.5</f>
        <v>440204.01</v>
      </c>
    </row>
    <row r="20" spans="1:3" x14ac:dyDescent="0.2">
      <c r="A20" t="s">
        <v>780</v>
      </c>
      <c r="B20" s="240">
        <f>343191.86+77874.49+345852.92+10148</f>
        <v>777067.27</v>
      </c>
      <c r="C20" s="240">
        <f>55370.4+210+805.5+24+1568.48+259.14+1389.22+24.68+2375.62+47120.72+9282.27+50849.29+59432.71+64594.68</f>
        <v>293306.71000000002</v>
      </c>
    </row>
    <row r="21" spans="1:3" x14ac:dyDescent="0.2">
      <c r="A21" t="s">
        <v>781</v>
      </c>
      <c r="B21" s="240">
        <f>28447.3+3895+6462.63+4297+3555.76+9172.5+2460+11190+34075</f>
        <v>103555.19</v>
      </c>
      <c r="C21" s="240">
        <f>776.32+222.19+9666.64</f>
        <v>10665.15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1618187.95</v>
      </c>
      <c r="C22" s="231">
        <f>SUM(C19:C21)</f>
        <v>744175.87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41300</v>
      </c>
      <c r="C36" s="235">
        <f>'DOE25'!G199+'DOE25'!G217+'DOE25'!G235+'DOE25'!G278+'DOE25'!G297+'DOE25'!G316</f>
        <v>7042.69</v>
      </c>
    </row>
    <row r="37" spans="1:3" x14ac:dyDescent="0.2">
      <c r="A37" t="s">
        <v>779</v>
      </c>
      <c r="B37" s="240">
        <v>41300</v>
      </c>
      <c r="C37" s="240">
        <v>7042.69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41300</v>
      </c>
      <c r="C40" s="231">
        <f>SUM(C37:C39)</f>
        <v>7042.69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/>
  <headerFooter alignWithMargins="0">
    <oddHeader>&amp;C&amp;A
FY2010-2011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1" sqref="D11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Barrington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11981993.509999998</v>
      </c>
      <c r="D5" s="20">
        <f>SUM('DOE25'!L196:L199)+SUM('DOE25'!L214:L217)+SUM('DOE25'!L232:L235)-F5-G5</f>
        <v>11966247.729999999</v>
      </c>
      <c r="E5" s="243"/>
      <c r="F5" s="255">
        <f>SUM('DOE25'!J196:J199)+SUM('DOE25'!J214:J217)+SUM('DOE25'!J232:J235)</f>
        <v>12842.78</v>
      </c>
      <c r="G5" s="53">
        <f>SUM('DOE25'!K196:K199)+SUM('DOE25'!K214:K217)+SUM('DOE25'!K232:K235)</f>
        <v>2903</v>
      </c>
      <c r="H5" s="259"/>
    </row>
    <row r="6" spans="1:9" x14ac:dyDescent="0.2">
      <c r="A6" s="32">
        <v>2100</v>
      </c>
      <c r="B6" t="s">
        <v>801</v>
      </c>
      <c r="C6" s="245">
        <f t="shared" si="0"/>
        <v>1118091.7999999998</v>
      </c>
      <c r="D6" s="20">
        <f>'DOE25'!L201+'DOE25'!L219+'DOE25'!L237-F6-G6</f>
        <v>1108048.3399999999</v>
      </c>
      <c r="E6" s="243"/>
      <c r="F6" s="255">
        <f>'DOE25'!J201+'DOE25'!J219+'DOE25'!J237</f>
        <v>780</v>
      </c>
      <c r="G6" s="53">
        <f>'DOE25'!K201+'DOE25'!K219+'DOE25'!K237</f>
        <v>9263.4599999999991</v>
      </c>
      <c r="H6" s="259"/>
    </row>
    <row r="7" spans="1:9" x14ac:dyDescent="0.2">
      <c r="A7" s="32">
        <v>2200</v>
      </c>
      <c r="B7" t="s">
        <v>834</v>
      </c>
      <c r="C7" s="245">
        <f t="shared" si="0"/>
        <v>510375.75499999989</v>
      </c>
      <c r="D7" s="20">
        <f>'DOE25'!L202+'DOE25'!L220+'DOE25'!L238-F7-G7</f>
        <v>458025.92999999993</v>
      </c>
      <c r="E7" s="243"/>
      <c r="F7" s="255">
        <f>'DOE25'!J202+'DOE25'!J220+'DOE25'!J238</f>
        <v>43314.720000000001</v>
      </c>
      <c r="G7" s="53">
        <f>'DOE25'!K202+'DOE25'!K220+'DOE25'!K238</f>
        <v>9035.1049999999996</v>
      </c>
      <c r="H7" s="259"/>
    </row>
    <row r="8" spans="1:9" x14ac:dyDescent="0.2">
      <c r="A8" s="32">
        <v>2300</v>
      </c>
      <c r="B8" t="s">
        <v>802</v>
      </c>
      <c r="C8" s="245">
        <f t="shared" si="0"/>
        <v>94429.310000000056</v>
      </c>
      <c r="D8" s="243"/>
      <c r="E8" s="20">
        <f>'DOE25'!L203+'DOE25'!L221+'DOE25'!L239-F8-G8-D9-D11</f>
        <v>71481.320000000065</v>
      </c>
      <c r="F8" s="255">
        <f>'DOE25'!J203+'DOE25'!J221+'DOE25'!J239</f>
        <v>3657.4800000000005</v>
      </c>
      <c r="G8" s="53">
        <f>'DOE25'!K203+'DOE25'!K221+'DOE25'!K239</f>
        <v>19290.510000000002</v>
      </c>
      <c r="H8" s="259"/>
    </row>
    <row r="9" spans="1:9" x14ac:dyDescent="0.2">
      <c r="A9" s="32">
        <v>2310</v>
      </c>
      <c r="B9" t="s">
        <v>818</v>
      </c>
      <c r="C9" s="245">
        <f t="shared" si="0"/>
        <v>79653.8</v>
      </c>
      <c r="D9" s="244">
        <v>79653.8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9870</v>
      </c>
      <c r="D10" s="243"/>
      <c r="E10" s="244">
        <v>9870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320397.83</v>
      </c>
      <c r="D11" s="244">
        <v>320397.83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786827.65999999992</v>
      </c>
      <c r="D12" s="20">
        <f>'DOE25'!L204+'DOE25'!L222+'DOE25'!L240-F12-G12</f>
        <v>745744.72999999986</v>
      </c>
      <c r="E12" s="243"/>
      <c r="F12" s="255">
        <f>'DOE25'!J204+'DOE25'!J222+'DOE25'!J240</f>
        <v>38997.5</v>
      </c>
      <c r="G12" s="53">
        <f>'DOE25'!K204+'DOE25'!K222+'DOE25'!K240</f>
        <v>2085.4299999999998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159876.48000000001</v>
      </c>
      <c r="D13" s="243"/>
      <c r="E13" s="20">
        <f>'DOE25'!L205+'DOE25'!L223+'DOE25'!L241-F13-G13</f>
        <v>159876.48000000001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1158495.8599999999</v>
      </c>
      <c r="D14" s="20">
        <f>'DOE25'!L206+'DOE25'!L224+'DOE25'!L242-F14-G14</f>
        <v>1158495.8599999999</v>
      </c>
      <c r="E14" s="243"/>
      <c r="F14" s="255">
        <f>'DOE25'!J206+'DOE25'!J224+'DOE25'!J242</f>
        <v>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780148.12</v>
      </c>
      <c r="D15" s="20">
        <f>'DOE25'!L207+'DOE25'!L225+'DOE25'!L243-F15-G15</f>
        <v>780148.12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13000</v>
      </c>
      <c r="D22" s="243"/>
      <c r="E22" s="243"/>
      <c r="F22" s="255">
        <f>'DOE25'!L254+'DOE25'!L335</f>
        <v>13000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1044410</v>
      </c>
      <c r="D25" s="243"/>
      <c r="E25" s="243"/>
      <c r="F25" s="258"/>
      <c r="G25" s="256"/>
      <c r="H25" s="257">
        <f>'DOE25'!L259+'DOE25'!L260+'DOE25'!L340+'DOE25'!L341</f>
        <v>1044410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287793.74000000005</v>
      </c>
      <c r="D29" s="20">
        <f>'DOE25'!L357+'DOE25'!L358+'DOE25'!L359-'DOE25'!I366-F29-G29</f>
        <v>287604.90000000002</v>
      </c>
      <c r="E29" s="243"/>
      <c r="F29" s="255">
        <f>'DOE25'!J357+'DOE25'!J358+'DOE25'!J359</f>
        <v>0</v>
      </c>
      <c r="G29" s="53">
        <f>'DOE25'!K357+'DOE25'!K358+'DOE25'!K359</f>
        <v>188.84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451583.45999999996</v>
      </c>
      <c r="D31" s="20">
        <f>'DOE25'!L289+'DOE25'!L308+'DOE25'!L327+'DOE25'!L332+'DOE25'!L333+'DOE25'!L334-F31-G31</f>
        <v>445132.69999999995</v>
      </c>
      <c r="E31" s="243"/>
      <c r="F31" s="255">
        <f>'DOE25'!J289+'DOE25'!J308+'DOE25'!J327+'DOE25'!J332+'DOE25'!J333+'DOE25'!J334</f>
        <v>3000</v>
      </c>
      <c r="G31" s="53">
        <f>'DOE25'!K289+'DOE25'!K308+'DOE25'!K327+'DOE25'!K332+'DOE25'!K333+'DOE25'!K334</f>
        <v>3450.76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17349499.939999998</v>
      </c>
      <c r="E33" s="246">
        <f>SUM(E5:E31)</f>
        <v>241227.80000000008</v>
      </c>
      <c r="F33" s="246">
        <f>SUM(F5:F31)</f>
        <v>115592.48000000001</v>
      </c>
      <c r="G33" s="246">
        <f>SUM(G5:G31)</f>
        <v>46217.104999999996</v>
      </c>
      <c r="H33" s="246">
        <f>SUM(H5:H31)</f>
        <v>1044410</v>
      </c>
    </row>
    <row r="35" spans="2:8" ht="12" thickBot="1" x14ac:dyDescent="0.25">
      <c r="B35" s="253" t="s">
        <v>847</v>
      </c>
      <c r="D35" s="254">
        <f>E33</f>
        <v>241227.80000000008</v>
      </c>
      <c r="E35" s="249"/>
    </row>
    <row r="36" spans="2:8" ht="12" thickTop="1" x14ac:dyDescent="0.2">
      <c r="B36" t="s">
        <v>815</v>
      </c>
      <c r="D36" s="20">
        <f>D33</f>
        <v>17349499.939999998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scale="85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125" zoomScaleNormal="125" zoomScalePageLayoutView="125" workbookViewId="0">
      <pane ySplit="2" topLeftCell="A59" activePane="bottomLeft" state="frozen"/>
      <selection pane="bottomLeft" activeCell="G95" sqref="G95"/>
    </sheetView>
  </sheetViews>
  <sheetFormatPr defaultColWidth="9" defaultRowHeight="11.25" x14ac:dyDescent="0.2"/>
  <cols>
    <col min="1" max="1" width="52.832031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Barrington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1032776.92</v>
      </c>
      <c r="D8" s="95">
        <f>'DOE25'!G9</f>
        <v>4403.6499999999996</v>
      </c>
      <c r="E8" s="95">
        <f>'DOE25'!H9</f>
        <v>57894.27</v>
      </c>
      <c r="F8" s="95" t="str">
        <f>'DOE25'!I9</f>
        <v xml:space="preserve"> 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6964.31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465073.13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723000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5685.02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1768426.25</v>
      </c>
      <c r="D18" s="41">
        <f>SUM(D8:D17)</f>
        <v>4403.6499999999996</v>
      </c>
      <c r="E18" s="41">
        <f>SUM(E8:E17)</f>
        <v>57894.27</v>
      </c>
      <c r="F18" s="41">
        <f>SUM(F8:F17)</f>
        <v>0</v>
      </c>
      <c r="G18" s="41">
        <f>SUM(G8:G17)</f>
        <v>465073.13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 t="str">
        <f>'DOE25'!F22</f>
        <v xml:space="preserve"> 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377747.89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93119.09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470866.98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710000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 t="str">
        <f>'DOE25'!F47</f>
        <v xml:space="preserve"> </v>
      </c>
      <c r="D46" s="95">
        <f>'DOE25'!G47</f>
        <v>0</v>
      </c>
      <c r="E46" s="95">
        <f>'DOE25'!H47</f>
        <v>57894.27</v>
      </c>
      <c r="F46" s="95">
        <f>'DOE25'!I47</f>
        <v>0</v>
      </c>
      <c r="G46" s="95">
        <f>'DOE25'!J47</f>
        <v>465073.13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4403.6499999999996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587559.27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1297559.27</v>
      </c>
      <c r="D49" s="41">
        <f>SUM(D34:D48)</f>
        <v>4403.6499999999996</v>
      </c>
      <c r="E49" s="41">
        <f>SUM(E34:E48)</f>
        <v>57894.27</v>
      </c>
      <c r="F49" s="41">
        <f>SUM(F34:F48)</f>
        <v>0</v>
      </c>
      <c r="G49" s="41">
        <f>SUM(G34:G48)</f>
        <v>465073.13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1768426.25</v>
      </c>
      <c r="D50" s="41">
        <f>D49+D31</f>
        <v>4403.6499999999996</v>
      </c>
      <c r="E50" s="41">
        <f>E49+E31</f>
        <v>57894.27</v>
      </c>
      <c r="F50" s="41">
        <f>F49+F31</f>
        <v>0</v>
      </c>
      <c r="G50" s="41">
        <f>G49+G31</f>
        <v>465073.13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11264157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85748.239999999991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683.16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194579.8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115537.64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201285.88</v>
      </c>
      <c r="D61" s="130">
        <f>SUM(D56:D60)</f>
        <v>194579.8</v>
      </c>
      <c r="E61" s="130">
        <f>SUM(E56:E60)</f>
        <v>0</v>
      </c>
      <c r="F61" s="130">
        <f>SUM(F56:F60)</f>
        <v>0</v>
      </c>
      <c r="G61" s="130">
        <f>SUM(G56:G60)</f>
        <v>683.16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11465442.880000001</v>
      </c>
      <c r="D62" s="22">
        <f>D55+D61</f>
        <v>194579.8</v>
      </c>
      <c r="E62" s="22">
        <f>E55+E61</f>
        <v>0</v>
      </c>
      <c r="F62" s="22">
        <f>F55+F61</f>
        <v>0</v>
      </c>
      <c r="G62" s="22">
        <f>G55+G61</f>
        <v>683.16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3925320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1990996.08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5916316.0800000001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231529.28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143967.78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556.79999999999995</v>
      </c>
      <c r="D76" s="95">
        <f>SUM('DOE25'!G130:G134)</f>
        <v>3874.39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376053.86</v>
      </c>
      <c r="D77" s="130">
        <f>SUM(D71:D76)</f>
        <v>3874.39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6292369.9400000004</v>
      </c>
      <c r="D80" s="130">
        <f>SUM(D78:D79)+D77+D69</f>
        <v>3874.39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214648.58</v>
      </c>
      <c r="D87" s="95">
        <f>SUM('DOE25'!G152:G160)</f>
        <v>93743.2</v>
      </c>
      <c r="E87" s="95">
        <f>SUM('DOE25'!H152:H160)</f>
        <v>450357.05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214648.58</v>
      </c>
      <c r="D90" s="131">
        <f>SUM(D84:D89)</f>
        <v>93743.2</v>
      </c>
      <c r="E90" s="131">
        <f>SUM(E84:E89)</f>
        <v>450357.05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90001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 t="str">
        <f>'DOE25'!J181</f>
        <v xml:space="preserve"> </v>
      </c>
    </row>
    <row r="98" spans="1:7" x14ac:dyDescent="0.2">
      <c r="A98" t="s">
        <v>760</v>
      </c>
      <c r="B98" s="32">
        <v>5251</v>
      </c>
      <c r="C98" s="95">
        <f>'DOE25'!F184</f>
        <v>90001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508250.79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598251.79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90001</v>
      </c>
    </row>
    <row r="103" spans="1:7" ht="12.75" thickTop="1" thickBot="1" x14ac:dyDescent="0.25">
      <c r="A103" s="33" t="s">
        <v>765</v>
      </c>
      <c r="C103" s="86">
        <f>C62+C80+C90+C102</f>
        <v>18570713.189999998</v>
      </c>
      <c r="D103" s="86">
        <f>D62+D80+D90+D102</f>
        <v>292197.39</v>
      </c>
      <c r="E103" s="86">
        <f>E62+E80+E90+E102</f>
        <v>450357.05</v>
      </c>
      <c r="F103" s="86">
        <f>F62+F80+F90+F102</f>
        <v>0</v>
      </c>
      <c r="G103" s="86">
        <f>G62+G80+G102</f>
        <v>90684.160000000003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9055599.2999999989</v>
      </c>
      <c r="D108" s="24" t="s">
        <v>289</v>
      </c>
      <c r="E108" s="95">
        <f>('DOE25'!L275)+('DOE25'!L294)+('DOE25'!L313)</f>
        <v>178668.74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2867250.18</v>
      </c>
      <c r="D109" s="24" t="s">
        <v>289</v>
      </c>
      <c r="E109" s="95">
        <f>('DOE25'!L276)+('DOE25'!L295)+('DOE25'!L314)</f>
        <v>272914.71999999997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59144.03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11981993.509999998</v>
      </c>
      <c r="D114" s="86">
        <f>SUM(D108:D113)</f>
        <v>0</v>
      </c>
      <c r="E114" s="86">
        <f>SUM(E108:E113)</f>
        <v>451583.45999999996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1118091.7999999998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510375.75499999995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494480.94000000006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786827.65999999992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159876.48000000001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1158495.8599999999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780148.12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287793.74000000005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5008296.6149999993</v>
      </c>
      <c r="D127" s="86">
        <f>SUM(D117:D126)</f>
        <v>287793.74000000005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13000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710000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334410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 t="str">
        <f>'DOE25'!K360</f>
        <v xml:space="preserve"> </v>
      </c>
      <c r="E133" s="95">
        <f>'DOE25'!L343</f>
        <v>7228.42</v>
      </c>
      <c r="F133" s="95">
        <f>'DOE25'!K380</f>
        <v>0</v>
      </c>
      <c r="G133" s="95">
        <f>'DOE25'!K433</f>
        <v>521250.79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90684.160000000003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-683.16000000000349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1147411</v>
      </c>
      <c r="D143" s="141">
        <f>SUM(D129:D142)</f>
        <v>0</v>
      </c>
      <c r="E143" s="141">
        <f>SUM(E129:E142)</f>
        <v>7228.42</v>
      </c>
      <c r="F143" s="141">
        <f>SUM(F129:F142)</f>
        <v>0</v>
      </c>
      <c r="G143" s="141">
        <f>SUM(G129:G142)</f>
        <v>521250.79</v>
      </c>
    </row>
    <row r="144" spans="1:7" ht="12.75" thickTop="1" thickBot="1" x14ac:dyDescent="0.25">
      <c r="A144" s="33" t="s">
        <v>244</v>
      </c>
      <c r="C144" s="86">
        <f>(C114+C127+C143)</f>
        <v>18137701.124999996</v>
      </c>
      <c r="D144" s="86">
        <f>(D114+D127+D143)</f>
        <v>287793.74000000005</v>
      </c>
      <c r="E144" s="86">
        <f>(E114+E127+E143)</f>
        <v>458811.87999999995</v>
      </c>
      <c r="F144" s="86">
        <f>(F114+F127+F143)</f>
        <v>0</v>
      </c>
      <c r="G144" s="86">
        <f>(G114+G127+G143)</f>
        <v>521250.79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12/02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10/22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14144129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3.7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7100000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7100000</v>
      </c>
    </row>
    <row r="156" spans="1:9" x14ac:dyDescent="0.2">
      <c r="A156" s="22" t="s">
        <v>33</v>
      </c>
      <c r="B156" s="137" t="str">
        <f>'DOE25'!F495</f>
        <v xml:space="preserve"> 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710000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710000</v>
      </c>
    </row>
    <row r="158" spans="1:9" x14ac:dyDescent="0.2">
      <c r="A158" s="22" t="s">
        <v>35</v>
      </c>
      <c r="B158" s="137">
        <f>'DOE25'!F497</f>
        <v>6390000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6390000</v>
      </c>
    </row>
    <row r="159" spans="1:9" x14ac:dyDescent="0.2">
      <c r="A159" s="22" t="s">
        <v>36</v>
      </c>
      <c r="B159" s="137">
        <f>'DOE25'!F498</f>
        <v>1650927.5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1650927.5</v>
      </c>
    </row>
    <row r="160" spans="1:9" x14ac:dyDescent="0.2">
      <c r="A160" s="22" t="s">
        <v>37</v>
      </c>
      <c r="B160" s="137">
        <f>'DOE25'!F499</f>
        <v>8040927.5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8040927.5</v>
      </c>
    </row>
    <row r="161" spans="1:7" x14ac:dyDescent="0.2">
      <c r="A161" s="22" t="s">
        <v>38</v>
      </c>
      <c r="B161" s="137">
        <f>'DOE25'!F500</f>
        <v>710000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710000</v>
      </c>
    </row>
    <row r="162" spans="1:7" x14ac:dyDescent="0.2">
      <c r="A162" s="22" t="s">
        <v>39</v>
      </c>
      <c r="B162" s="137">
        <f>'DOE25'!F501</f>
        <v>305300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305300</v>
      </c>
    </row>
    <row r="163" spans="1:7" x14ac:dyDescent="0.2">
      <c r="A163" s="22" t="s">
        <v>246</v>
      </c>
      <c r="B163" s="137">
        <f>'DOE25'!F502</f>
        <v>1015300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1015300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80" orientation="landscape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Barrington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13226</v>
      </c>
    </row>
    <row r="5" spans="1:4" x14ac:dyDescent="0.2">
      <c r="B5" t="s">
        <v>704</v>
      </c>
      <c r="C5" s="179">
        <f>IF('DOE25'!G664+'DOE25'!G669=0,0,ROUND('DOE25'!G671,0))</f>
        <v>11451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12376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9234268</v>
      </c>
      <c r="D10" s="182">
        <f>ROUND((C10/$C$28)*100,1)</f>
        <v>51.7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3140165</v>
      </c>
      <c r="D11" s="182">
        <f>ROUND((C11/$C$28)*100,1)</f>
        <v>17.600000000000001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59144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1118092</v>
      </c>
      <c r="D15" s="182">
        <f t="shared" ref="D15:D27" si="0">ROUND((C15/$C$28)*100,1)</f>
        <v>6.3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510376</v>
      </c>
      <c r="D16" s="182">
        <f t="shared" si="0"/>
        <v>2.9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494481</v>
      </c>
      <c r="D17" s="182">
        <f t="shared" si="0"/>
        <v>2.8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786828</v>
      </c>
      <c r="D18" s="182">
        <f t="shared" si="0"/>
        <v>4.4000000000000004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159876</v>
      </c>
      <c r="D19" s="182">
        <f t="shared" si="0"/>
        <v>0.9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1158496</v>
      </c>
      <c r="D20" s="182">
        <f t="shared" si="0"/>
        <v>6.5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780148</v>
      </c>
      <c r="D21" s="182">
        <f t="shared" si="0"/>
        <v>4.4000000000000004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334410</v>
      </c>
      <c r="D25" s="182">
        <f t="shared" si="0"/>
        <v>1.9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93214.200000000012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17869498.199999999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13000</v>
      </c>
    </row>
    <row r="30" spans="1:4" x14ac:dyDescent="0.2">
      <c r="B30" s="187" t="s">
        <v>729</v>
      </c>
      <c r="C30" s="180">
        <f>SUM(C28:C29)</f>
        <v>17882498.199999999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710000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11264157</v>
      </c>
      <c r="D35" s="182">
        <f t="shared" ref="D35:D40" si="1">ROUND((C35/$C$41)*100,1)</f>
        <v>60.8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201969.04000000097</v>
      </c>
      <c r="D36" s="182">
        <f t="shared" si="1"/>
        <v>1.1000000000000001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5916316</v>
      </c>
      <c r="D37" s="182">
        <f t="shared" si="1"/>
        <v>31.9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379928</v>
      </c>
      <c r="D38" s="182">
        <f t="shared" si="1"/>
        <v>2.1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758749</v>
      </c>
      <c r="D39" s="182">
        <f t="shared" si="1"/>
        <v>4.0999999999999996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18521119.039999999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/>
  <headerFooter alignWithMargins="0">
    <oddHeader>&amp;A</oddHeader>
    <oddFooter>Page &amp;P</oddFooter>
  </headerFooter>
  <ignoredErrors>
    <ignoredError sqref="D10:D28" evalErro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Barrington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/>
  <headerFooter alignWithMargins="0">
    <oddHeader>&amp;LDistrict Notes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2013-09-20T13:46:45Z</cp:lastPrinted>
  <dcterms:created xsi:type="dcterms:W3CDTF">1997-12-04T19:04:30Z</dcterms:created>
  <dcterms:modified xsi:type="dcterms:W3CDTF">2013-11-14T15:44:26Z</dcterms:modified>
</cp:coreProperties>
</file>