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B21" i="12"/>
  <c r="C37" i="12"/>
  <c r="C39" i="12"/>
  <c r="C21" i="12"/>
  <c r="C10" i="12"/>
  <c r="C12" i="12"/>
  <c r="H603" i="1"/>
  <c r="F367" i="1"/>
  <c r="H13" i="1"/>
  <c r="F49" i="1"/>
  <c r="F12" i="1"/>
  <c r="F467" i="1"/>
  <c r="G494" i="1"/>
  <c r="F497" i="1"/>
  <c r="F494" i="1"/>
  <c r="G471" i="1"/>
  <c r="G467" i="1"/>
  <c r="F366" i="1" l="1"/>
  <c r="H154" i="1"/>
  <c r="H153" i="1"/>
  <c r="H101" i="1"/>
  <c r="G157" i="1"/>
  <c r="G29" i="1"/>
  <c r="F9" i="1"/>
  <c r="F29" i="1"/>
  <c r="D9" i="13" l="1"/>
  <c r="H520" i="1"/>
  <c r="H281" i="1"/>
  <c r="H239" i="1"/>
  <c r="H221" i="1"/>
  <c r="H206" i="1"/>
  <c r="H203" i="1"/>
  <c r="H202" i="1"/>
  <c r="H201" i="1"/>
  <c r="H197" i="1"/>
  <c r="H196" i="1"/>
  <c r="C37" i="10" l="1"/>
  <c r="F40" i="2" l="1"/>
  <c r="D39" i="2"/>
  <c r="G654" i="1"/>
  <c r="J654" i="1" s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E13" i="13" s="1"/>
  <c r="C13" i="13" s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C111" i="2" s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C120" i="2" s="1"/>
  <c r="F14" i="13"/>
  <c r="G14" i="13"/>
  <c r="L206" i="1"/>
  <c r="D14" i="13" s="1"/>
  <c r="C14" i="13" s="1"/>
  <c r="L224" i="1"/>
  <c r="L242" i="1"/>
  <c r="F15" i="13"/>
  <c r="G15" i="13"/>
  <c r="L207" i="1"/>
  <c r="L225" i="1"/>
  <c r="L243" i="1"/>
  <c r="F17" i="13"/>
  <c r="G17" i="13"/>
  <c r="D17" i="13" s="1"/>
  <c r="C17" i="13" s="1"/>
  <c r="L250" i="1"/>
  <c r="F18" i="13"/>
  <c r="G18" i="13"/>
  <c r="L251" i="1"/>
  <c r="D18" i="13" s="1"/>
  <c r="C18" i="13" s="1"/>
  <c r="F19" i="13"/>
  <c r="G19" i="13"/>
  <c r="L252" i="1"/>
  <c r="F29" i="13"/>
  <c r="G29" i="13"/>
  <c r="L357" i="1"/>
  <c r="L358" i="1"/>
  <c r="L359" i="1"/>
  <c r="H660" i="1" s="1"/>
  <c r="I366" i="1"/>
  <c r="J289" i="1"/>
  <c r="J308" i="1"/>
  <c r="J327" i="1"/>
  <c r="K289" i="1"/>
  <c r="K308" i="1"/>
  <c r="K327" i="1"/>
  <c r="L275" i="1"/>
  <c r="L276" i="1"/>
  <c r="L277" i="1"/>
  <c r="L278" i="1"/>
  <c r="E111" i="2" s="1"/>
  <c r="L280" i="1"/>
  <c r="E117" i="2" s="1"/>
  <c r="L281" i="1"/>
  <c r="C16" i="10" s="1"/>
  <c r="L282" i="1"/>
  <c r="L283" i="1"/>
  <c r="E120" i="2" s="1"/>
  <c r="L284" i="1"/>
  <c r="E121" i="2" s="1"/>
  <c r="L285" i="1"/>
  <c r="L286" i="1"/>
  <c r="L287" i="1"/>
  <c r="E124" i="2" s="1"/>
  <c r="L294" i="1"/>
  <c r="L308" i="1" s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27" i="1" s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C130" i="2" s="1"/>
  <c r="L260" i="1"/>
  <c r="C25" i="10" s="1"/>
  <c r="L340" i="1"/>
  <c r="L341" i="1"/>
  <c r="L254" i="1"/>
  <c r="C129" i="2" s="1"/>
  <c r="L335" i="1"/>
  <c r="F22" i="13" s="1"/>
  <c r="C22" i="13" s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A13" i="12" s="1"/>
  <c r="C9" i="12"/>
  <c r="C13" i="12"/>
  <c r="B18" i="12"/>
  <c r="B22" i="12"/>
  <c r="C18" i="12"/>
  <c r="C22" i="12"/>
  <c r="B1" i="12"/>
  <c r="L386" i="1"/>
  <c r="L392" i="1" s="1"/>
  <c r="C137" i="2" s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55" i="2" s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G161" i="1"/>
  <c r="H146" i="1"/>
  <c r="H168" i="1" s="1"/>
  <c r="H161" i="1"/>
  <c r="I146" i="1"/>
  <c r="I161" i="1"/>
  <c r="C11" i="10"/>
  <c r="C20" i="10"/>
  <c r="L249" i="1"/>
  <c r="L331" i="1"/>
  <c r="C23" i="10" s="1"/>
  <c r="L253" i="1"/>
  <c r="L267" i="1"/>
  <c r="L268" i="1"/>
  <c r="C142" i="2" s="1"/>
  <c r="L348" i="1"/>
  <c r="L349" i="1"/>
  <c r="I664" i="1"/>
  <c r="I669" i="1"/>
  <c r="G660" i="1"/>
  <c r="G661" i="1"/>
  <c r="H661" i="1"/>
  <c r="I668" i="1"/>
  <c r="C42" i="10"/>
  <c r="L373" i="1"/>
  <c r="F129" i="2" s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H551" i="1" s="1"/>
  <c r="L532" i="1"/>
  <c r="H550" i="1" s="1"/>
  <c r="L535" i="1"/>
  <c r="I548" i="1" s="1"/>
  <c r="L536" i="1"/>
  <c r="I549" i="1" s="1"/>
  <c r="I551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F18" i="2" s="1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F77" i="2" s="1"/>
  <c r="F80" i="2" s="1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C102" i="2" s="1"/>
  <c r="F93" i="2"/>
  <c r="D95" i="2"/>
  <c r="E95" i="2"/>
  <c r="F95" i="2"/>
  <c r="G95" i="2"/>
  <c r="C96" i="2"/>
  <c r="D96" i="2"/>
  <c r="E96" i="2"/>
  <c r="E102" i="2" s="1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E109" i="2"/>
  <c r="E110" i="2"/>
  <c r="C112" i="2"/>
  <c r="E112" i="2"/>
  <c r="C113" i="2"/>
  <c r="D114" i="2"/>
  <c r="F114" i="2"/>
  <c r="G114" i="2"/>
  <c r="C118" i="2"/>
  <c r="E119" i="2"/>
  <c r="C122" i="2"/>
  <c r="E122" i="2"/>
  <c r="E123" i="2"/>
  <c r="C124" i="2"/>
  <c r="F127" i="2"/>
  <c r="G127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G619" i="1" s="1"/>
  <c r="F32" i="1"/>
  <c r="G32" i="1"/>
  <c r="H32" i="1"/>
  <c r="I32" i="1"/>
  <c r="F50" i="1"/>
  <c r="G621" i="1" s="1"/>
  <c r="G50" i="1"/>
  <c r="H50" i="1"/>
  <c r="H51" i="1" s="1"/>
  <c r="H618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L255" i="1" s="1"/>
  <c r="H255" i="1"/>
  <c r="I255" i="1"/>
  <c r="J255" i="1"/>
  <c r="K255" i="1"/>
  <c r="F256" i="1"/>
  <c r="F270" i="1" s="1"/>
  <c r="F289" i="1"/>
  <c r="G289" i="1"/>
  <c r="G337" i="1" s="1"/>
  <c r="G351" i="1" s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8" i="1" s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G460" i="1" s="1"/>
  <c r="H639" i="1" s="1"/>
  <c r="H459" i="1"/>
  <c r="I459" i="1"/>
  <c r="I460" i="1" s="1"/>
  <c r="H641" i="1" s="1"/>
  <c r="F460" i="1"/>
  <c r="H460" i="1"/>
  <c r="F469" i="1"/>
  <c r="G469" i="1"/>
  <c r="H469" i="1"/>
  <c r="I469" i="1"/>
  <c r="I475" i="1" s="1"/>
  <c r="H624" i="1" s="1"/>
  <c r="J469" i="1"/>
  <c r="J475" i="1" s="1"/>
  <c r="H625" i="1" s="1"/>
  <c r="F473" i="1"/>
  <c r="G473" i="1"/>
  <c r="H473" i="1"/>
  <c r="H475" i="1" s="1"/>
  <c r="H623" i="1" s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I544" i="1" s="1"/>
  <c r="J523" i="1"/>
  <c r="J544" i="1" s="1"/>
  <c r="K523" i="1"/>
  <c r="F528" i="1"/>
  <c r="G528" i="1"/>
  <c r="G544" i="1" s="1"/>
  <c r="H528" i="1"/>
  <c r="I528" i="1"/>
  <c r="J528" i="1"/>
  <c r="K528" i="1"/>
  <c r="K544" i="1" s="1"/>
  <c r="F533" i="1"/>
  <c r="G533" i="1"/>
  <c r="H533" i="1"/>
  <c r="H544" i="1" s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I570" i="1" s="1"/>
  <c r="J569" i="1"/>
  <c r="J570" i="1" s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7" i="1"/>
  <c r="G618" i="1"/>
  <c r="G622" i="1"/>
  <c r="G623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J638" i="1" s="1"/>
  <c r="H638" i="1"/>
  <c r="G640" i="1"/>
  <c r="H640" i="1"/>
  <c r="G642" i="1"/>
  <c r="J642" i="1" s="1"/>
  <c r="H642" i="1"/>
  <c r="G643" i="1"/>
  <c r="G644" i="1"/>
  <c r="H644" i="1"/>
  <c r="J644" i="1" s="1"/>
  <c r="G649" i="1"/>
  <c r="G650" i="1"/>
  <c r="J650" i="1" s="1"/>
  <c r="G651" i="1"/>
  <c r="H651" i="1"/>
  <c r="G652" i="1"/>
  <c r="H652" i="1"/>
  <c r="G653" i="1"/>
  <c r="H653" i="1"/>
  <c r="H654" i="1"/>
  <c r="F191" i="1"/>
  <c r="I256" i="1"/>
  <c r="F31" i="2"/>
  <c r="E49" i="2"/>
  <c r="F102" i="2"/>
  <c r="G80" i="2"/>
  <c r="F61" i="2"/>
  <c r="D49" i="2"/>
  <c r="F49" i="2"/>
  <c r="F50" i="2" s="1"/>
  <c r="G157" i="2"/>
  <c r="G102" i="2"/>
  <c r="D90" i="2"/>
  <c r="F90" i="2"/>
  <c r="C31" i="2"/>
  <c r="G61" i="2"/>
  <c r="D19" i="13"/>
  <c r="C19" i="13" s="1"/>
  <c r="E77" i="2"/>
  <c r="L426" i="1"/>
  <c r="J640" i="1"/>
  <c r="K570" i="1"/>
  <c r="I168" i="1"/>
  <c r="F168" i="1"/>
  <c r="J139" i="1"/>
  <c r="G22" i="2"/>
  <c r="J551" i="1"/>
  <c r="H139" i="1"/>
  <c r="H570" i="1"/>
  <c r="F337" i="1"/>
  <c r="F351" i="1" s="1"/>
  <c r="H191" i="1"/>
  <c r="E16" i="13"/>
  <c r="L569" i="1"/>
  <c r="G36" i="2"/>
  <c r="C16" i="13"/>
  <c r="A40" i="12" l="1"/>
  <c r="J643" i="1"/>
  <c r="J623" i="1"/>
  <c r="F475" i="1"/>
  <c r="H621" i="1" s="1"/>
  <c r="J621" i="1" s="1"/>
  <c r="L533" i="1"/>
  <c r="G162" i="2"/>
  <c r="G159" i="2"/>
  <c r="G158" i="2"/>
  <c r="G155" i="2"/>
  <c r="G161" i="2"/>
  <c r="G160" i="2"/>
  <c r="G475" i="1"/>
  <c r="H622" i="1" s="1"/>
  <c r="J622" i="1" s="1"/>
  <c r="J633" i="1"/>
  <c r="H111" i="1"/>
  <c r="D61" i="2"/>
  <c r="D62" i="2" s="1"/>
  <c r="C90" i="2"/>
  <c r="C77" i="2"/>
  <c r="C80" i="2" s="1"/>
  <c r="C61" i="2"/>
  <c r="L400" i="1"/>
  <c r="C138" i="2" s="1"/>
  <c r="J639" i="1"/>
  <c r="E31" i="2"/>
  <c r="E50" i="2" s="1"/>
  <c r="E18" i="2"/>
  <c r="D31" i="2"/>
  <c r="G51" i="1"/>
  <c r="H617" i="1" s="1"/>
  <c r="D18" i="2"/>
  <c r="C49" i="2"/>
  <c r="C50" i="2" s="1"/>
  <c r="F51" i="1"/>
  <c r="H616" i="1" s="1"/>
  <c r="J616" i="1" s="1"/>
  <c r="C18" i="2"/>
  <c r="K597" i="1"/>
  <c r="G646" i="1" s="1"/>
  <c r="F570" i="1"/>
  <c r="K549" i="1"/>
  <c r="K550" i="1"/>
  <c r="G551" i="1"/>
  <c r="F551" i="1"/>
  <c r="D126" i="2"/>
  <c r="D127" i="2" s="1"/>
  <c r="K337" i="1"/>
  <c r="E118" i="2"/>
  <c r="L289" i="1"/>
  <c r="L337" i="1" s="1"/>
  <c r="L351" i="1" s="1"/>
  <c r="G632" i="1" s="1"/>
  <c r="J632" i="1" s="1"/>
  <c r="H25" i="13"/>
  <c r="C25" i="13" s="1"/>
  <c r="L269" i="1"/>
  <c r="C32" i="10"/>
  <c r="C21" i="10"/>
  <c r="K256" i="1"/>
  <c r="K270" i="1" s="1"/>
  <c r="C15" i="10"/>
  <c r="C12" i="10"/>
  <c r="H256" i="1"/>
  <c r="H270" i="1" s="1"/>
  <c r="L246" i="1"/>
  <c r="H659" i="1" s="1"/>
  <c r="H663" i="1" s="1"/>
  <c r="G256" i="1"/>
  <c r="G270" i="1" s="1"/>
  <c r="L228" i="1"/>
  <c r="G659" i="1" s="1"/>
  <c r="G663" i="1" s="1"/>
  <c r="G666" i="1" s="1"/>
  <c r="D12" i="13"/>
  <c r="C12" i="13" s="1"/>
  <c r="C17" i="10"/>
  <c r="D7" i="13"/>
  <c r="C7" i="13" s="1"/>
  <c r="D6" i="13"/>
  <c r="C6" i="13" s="1"/>
  <c r="L210" i="1"/>
  <c r="F659" i="1" s="1"/>
  <c r="C108" i="2"/>
  <c r="D5" i="13"/>
  <c r="C5" i="13" s="1"/>
  <c r="E127" i="2"/>
  <c r="F111" i="1"/>
  <c r="C36" i="10" s="1"/>
  <c r="L350" i="1"/>
  <c r="L538" i="1"/>
  <c r="K502" i="1"/>
  <c r="L381" i="1"/>
  <c r="G635" i="1" s="1"/>
  <c r="J635" i="1" s="1"/>
  <c r="L336" i="1"/>
  <c r="E108" i="2"/>
  <c r="E114" i="2" s="1"/>
  <c r="E56" i="2"/>
  <c r="E61" i="2" s="1"/>
  <c r="E62" i="2" s="1"/>
  <c r="F660" i="1"/>
  <c r="I660" i="1" s="1"/>
  <c r="C10" i="10"/>
  <c r="K548" i="1"/>
  <c r="K551" i="1" s="1"/>
  <c r="D29" i="13"/>
  <c r="C29" i="13" s="1"/>
  <c r="F62" i="2"/>
  <c r="F103" i="2" s="1"/>
  <c r="D15" i="13"/>
  <c r="C15" i="13" s="1"/>
  <c r="G648" i="1"/>
  <c r="J648" i="1" s="1"/>
  <c r="L543" i="1"/>
  <c r="L523" i="1"/>
  <c r="J337" i="1"/>
  <c r="J351" i="1" s="1"/>
  <c r="E129" i="2"/>
  <c r="E143" i="2" s="1"/>
  <c r="C123" i="2"/>
  <c r="C121" i="2"/>
  <c r="C119" i="2"/>
  <c r="C117" i="2"/>
  <c r="C110" i="2"/>
  <c r="C55" i="2"/>
  <c r="C62" i="2" s="1"/>
  <c r="F661" i="1"/>
  <c r="I661" i="1" s="1"/>
  <c r="C18" i="10"/>
  <c r="C13" i="10"/>
  <c r="D144" i="2"/>
  <c r="E80" i="2"/>
  <c r="I270" i="1"/>
  <c r="K351" i="1"/>
  <c r="C19" i="10"/>
  <c r="C29" i="10"/>
  <c r="E8" i="13"/>
  <c r="C8" i="13" s="1"/>
  <c r="C26" i="10"/>
  <c r="H646" i="1"/>
  <c r="G624" i="1"/>
  <c r="J624" i="1" s="1"/>
  <c r="L613" i="1"/>
  <c r="L528" i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H192" i="1"/>
  <c r="G628" i="1" s="1"/>
  <c r="J628" i="1" s="1"/>
  <c r="G168" i="1"/>
  <c r="C39" i="10" s="1"/>
  <c r="G139" i="1"/>
  <c r="F139" i="1"/>
  <c r="G62" i="2"/>
  <c r="G103" i="2" s="1"/>
  <c r="J617" i="1"/>
  <c r="G42" i="2"/>
  <c r="G49" i="2" s="1"/>
  <c r="G50" i="2" s="1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7" i="1"/>
  <c r="J647" i="1" s="1"/>
  <c r="J651" i="1"/>
  <c r="J641" i="1"/>
  <c r="G570" i="1"/>
  <c r="I433" i="1"/>
  <c r="G433" i="1"/>
  <c r="I662" i="1"/>
  <c r="C27" i="10"/>
  <c r="G634" i="1"/>
  <c r="J634" i="1" s="1"/>
  <c r="E103" i="2" l="1"/>
  <c r="C103" i="2"/>
  <c r="J646" i="1"/>
  <c r="L544" i="1"/>
  <c r="D31" i="13"/>
  <c r="C31" i="13" s="1"/>
  <c r="H33" i="13"/>
  <c r="H671" i="1"/>
  <c r="C6" i="10" s="1"/>
  <c r="H666" i="1"/>
  <c r="L256" i="1"/>
  <c r="L270" i="1" s="1"/>
  <c r="G631" i="1" s="1"/>
  <c r="J631" i="1" s="1"/>
  <c r="C28" i="10"/>
  <c r="D24" i="10" s="1"/>
  <c r="C114" i="2"/>
  <c r="I659" i="1"/>
  <c r="I663" i="1" s="1"/>
  <c r="I671" i="1" s="1"/>
  <c r="C7" i="10" s="1"/>
  <c r="G671" i="1"/>
  <c r="C5" i="10" s="1"/>
  <c r="C127" i="2"/>
  <c r="E33" i="13"/>
  <c r="D35" i="13" s="1"/>
  <c r="F192" i="1"/>
  <c r="G626" i="1" s="1"/>
  <c r="J626" i="1" s="1"/>
  <c r="L407" i="1"/>
  <c r="F663" i="1"/>
  <c r="E144" i="2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D23" i="10"/>
  <c r="D10" i="10" l="1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C144" i="2"/>
  <c r="F671" i="1"/>
  <c r="C4" i="10" s="1"/>
  <c r="F666" i="1"/>
  <c r="G636" i="1"/>
  <c r="J636" i="1" s="1"/>
  <c r="H645" i="1"/>
  <c r="J645" i="1" s="1"/>
  <c r="I666" i="1"/>
  <c r="C41" i="10"/>
  <c r="D38" i="10" s="1"/>
  <c r="H655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<sst xmlns="http://schemas.openxmlformats.org/spreadsheetml/2006/main" count="3949" uniqueCount="915">
  <si>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</si>
  <si>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</si>
  <si>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</si>
  <si>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</si>
  <si>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</si>
  <si>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</si>
  <si>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</si>
  <si>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</si>
  <si>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</si>
  <si>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</si>
  <si>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</si>
  <si>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</si>
  <si>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</si>
  <si>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</si>
  <si>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</si>
  <si>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</si>
  <si>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</si>
  <si>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</si>
  <si>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</si>
  <si>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</si>
  <si>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</si>
  <si>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</si>
  <si>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</si>
  <si>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</si>
  <si>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</si>
  <si>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</si>
  <si>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</si>
  <si>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</si>
  <si>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</si>
  <si>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</si>
  <si>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</si>
  <si>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</si>
  <si>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</si>
  <si>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</si>
  <si>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</si>
  <si>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</si>
  <si>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</si>
  <si>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</si>
  <si>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</si>
  <si>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</si>
  <si>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</si>
  <si>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</si>
  <si>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</si>
  <si>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</si>
  <si>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</si>
  <si>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</si>
  <si>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</si>
  <si>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</si>
  <si>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</si>
  <si>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</si>
  <si>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</si>
  <si>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</si>
  <si>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</si>
  <si>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</si>
  <si>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</si>
  <si>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</si>
  <si>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</si>
  <si>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</si>
  <si>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</si>
  <si>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</si>
  <si>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</si>
  <si>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</si>
  <si>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</si>
  <si>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</si>
  <si>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</si>
  <si>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</si>
  <si>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</si>
  <si>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</si>
  <si>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</si>
  <si>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</si>
  <si>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</si>
  <si>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</si>
  <si>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</si>
  <si>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</si>
  <si>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</si>
  <si>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</si>
  <si>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</si>
  <si>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</si>
  <si>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</si>
  <si>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</si>
  <si>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</si>
  <si>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</si>
  <si>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</si>
  <si>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</si>
  <si>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</si>
  <si>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</si>
  <si>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</si>
  <si>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</si>
  <si>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</si>
  <si>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</si>
  <si>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</si>
  <si>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</si>
  <si>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</si>
  <si>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</si>
  <si>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</si>
  <si>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</si>
  <si>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</si>
  <si>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</si>
  <si>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</si>
  <si>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</si>
  <si>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</si>
  <si>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</si>
  <si>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</si>
  <si>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</si>
  <si>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</si>
  <si>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</si>
  <si>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</si>
  <si>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</si>
  <si>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</si>
  <si>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</si>
  <si>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</si>
  <si>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</si>
  <si>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</si>
  <si>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</si>
  <si>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</si>
  <si>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</si>
  <si>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</si>
  <si>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</si>
  <si>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</si>
  <si>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</si>
  <si>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</si>
  <si>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</si>
  <si>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</si>
  <si>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</si>
  <si>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</si>
  <si>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</si>
  <si>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</si>
  <si>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</si>
  <si>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</si>
  <si>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</si>
  <si>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</si>
  <si>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</si>
  <si>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</si>
  <si>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</si>
  <si>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</si>
  <si>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</si>
  <si>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</si>
  <si>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</si>
  <si>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</si>
  <si>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</si>
  <si>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</si>
  <si>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</si>
  <si>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</si>
  <si>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</si>
  <si>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</si>
  <si>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</si>
  <si>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</si>
  <si>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</si>
  <si>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</si>
  <si>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</si>
  <si>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</si>
  <si>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</si>
  <si>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</si>
  <si>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</si>
  <si>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</si>
  <si>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</si>
  <si>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</si>
  <si>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</si>
  <si>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</si>
  <si>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</si>
  <si>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</si>
  <si>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</si>
  <si>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</si>
  <si>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</si>
  <si>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</si>
  <si>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</si>
  <si>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</si>
  <si>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</si>
  <si>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</si>
  <si>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</si>
  <si>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</si>
  <si>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</si>
  <si>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</si>
  <si>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</si>
  <si>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</si>
  <si>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</si>
  <si>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</si>
  <si>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</si>
  <si>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</si>
  <si>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</si>
  <si>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</si>
  <si>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</si>
  <si>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</si>
  <si>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</si>
  <si>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</si>
  <si>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</si>
  <si>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</si>
  <si>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</si>
  <si>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</si>
  <si>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</si>
  <si>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</si>
  <si>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</si>
  <si>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</si>
  <si>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</si>
  <si>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</si>
  <si>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</si>
  <si>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</si>
  <si>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</si>
  <si>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</si>
  <si>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</si>
  <si>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</si>
  <si>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</si>
  <si>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</si>
  <si>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</si>
  <si>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</si>
  <si>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</si>
  <si>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</si>
  <si>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</si>
  <si>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</si>
  <si>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</si>
  <si>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</si>
  <si>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</si>
  <si>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</si>
  <si>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</si>
  <si>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</si>
  <si>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</si>
  <si>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</si>
  <si>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</si>
  <si>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</si>
  <si>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</si>
  <si>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</si>
  <si>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</si>
  <si>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</si>
  <si>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</si>
  <si>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</si>
  <si>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</si>
  <si>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</si>
  <si>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</si>
  <si>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</si>
  <si>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</si>
  <si>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</si>
  <si>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</si>
  <si>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</si>
  <si>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</si>
  <si>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</si>
  <si>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</si>
  <si>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</si>
  <si>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</si>
  <si>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</si>
  <si>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</si>
  <si>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</si>
  <si>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</si>
  <si>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</si>
  <si>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</si>
  <si>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</si>
  <si>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</si>
  <si>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</si>
  <si>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</si>
  <si>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</si>
  <si>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</si>
  <si>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</si>
  <si>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</si>
  <si>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</si>
  <si>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</si>
  <si>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</si>
  <si>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</si>
  <si>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</si>
  <si>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</si>
  <si>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</si>
  <si>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</si>
  <si>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</si>
  <si>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</si>
  <si>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</si>
  <si>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</si>
  <si>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</si>
  <si>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</si>
  <si>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</si>
  <si>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</si>
  <si>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</si>
  <si>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</si>
  <si>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</si>
  <si>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</si>
  <si>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</si>
  <si>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</si>
  <si>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</si>
  <si>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</si>
  <si>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</si>
  <si>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</si>
  <si>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</si>
  <si>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</si>
  <si>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</si>
  <si>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</si>
  <si>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</si>
  <si>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</si>
  <si>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</si>
  <si>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</si>
  <si>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</si>
  <si>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</si>
  <si>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</si>
  <si>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</si>
  <si>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</si>
  <si>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</si>
  <si>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</si>
  <si>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</si>
  <si>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</si>
  <si>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</si>
  <si>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</si>
  <si>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</si>
  <si>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</si>
  <si>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</si>
  <si>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</si>
  <si>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</si>
  <si>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</si>
  <si>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</si>
  <si>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</si>
  <si>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</si>
  <si>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</si>
  <si>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</si>
  <si>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</si>
  <si>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</si>
  <si>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</si>
  <si>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</si>
  <si>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</si>
  <si>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</si>
  <si>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</si>
  <si>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</si>
  <si>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</si>
  <si>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</si>
  <si>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</si>
  <si>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</si>
  <si>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</si>
  <si>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</si>
  <si>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</si>
  <si>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</si>
  <si>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</si>
  <si>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</si>
  <si>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</si>
  <si>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</si>
  <si>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</si>
  <si>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</si>
  <si>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</si>
  <si>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</si>
  <si>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</si>
  <si>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</si>
  <si>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</si>
  <si>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</si>
  <si>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</si>
  <si>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</si>
  <si>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</si>
  <si>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</si>
  <si>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</si>
  <si>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</si>
  <si>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</si>
  <si>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</si>
  <si>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</si>
  <si>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</si>
  <si>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</si>
  <si>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</si>
  <si>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</si>
  <si>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</si>
  <si>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</si>
  <si>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</si>
  <si>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</si>
  <si>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</si>
  <si>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</si>
  <si>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</si>
  <si>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</si>
  <si>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</si>
  <si>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</si>
  <si>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</si>
  <si>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</si>
  <si>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</si>
  <si>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</si>
  <si>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</si>
  <si>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</si>
  <si>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</si>
  <si>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</si>
  <si>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</si>
  <si>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</si>
  <si>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</si>
  <si>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</si>
  <si>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</si>
  <si>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</si>
  <si>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</si>
  <si>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</si>
  <si>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</si>
  <si>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</si>
  <si>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</si>
  <si>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</si>
  <si>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</si>
  <si>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</si>
  <si>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</si>
  <si>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</si>
  <si>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</si>
  <si>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</si>
  <si>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</si>
  <si>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</si>
  <si>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</si>
  <si>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</si>
  <si>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</si>
  <si>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</si>
  <si>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</si>
  <si>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</si>
  <si>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</si>
  <si>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</si>
  <si>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</si>
  <si>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</si>
  <si>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</si>
  <si>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</si>
  <si>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</si>
  <si>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</si>
  <si>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</si>
  <si>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</si>
  <si>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</si>
  <si>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</si>
  <si>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</si>
  <si>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</si>
  <si>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</si>
  <si>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</si>
  <si>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</si>
  <si>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</si>
  <si>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</si>
  <si>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</si>
  <si>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</si>
  <si>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</si>
  <si>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</si>
  <si>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</si>
  <si>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</si>
  <si>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</si>
  <si>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</si>
  <si>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</si>
  <si>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</si>
  <si>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</si>
  <si>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</si>
  <si>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</si>
  <si>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</si>
  <si>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</si>
  <si>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</si>
  <si>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</si>
  <si>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</si>
  <si>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</si>
  <si>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</si>
  <si>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</si>
  <si>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</si>
  <si>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</si>
  <si>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</si>
  <si>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</si>
  <si>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</si>
  <si>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</si>
  <si>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</si>
  <si>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</si>
  <si>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</si>
  <si>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</si>
  <si>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</si>
  <si>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</si>
  <si>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</si>
  <si>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</si>
  <si>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</si>
  <si>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</si>
  <si>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</si>
  <si>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</si>
  <si>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</si>
  <si>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</si>
  <si>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</si>
  <si>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</si>
  <si>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</si>
  <si>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</si>
  <si>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</si>
  <si>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</si>
  <si>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</si>
  <si>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</si>
  <si>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</si>
  <si>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</si>
  <si>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</si>
  <si>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</si>
  <si>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</si>
  <si>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</si>
  <si>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</si>
  <si>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</si>
  <si>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</si>
  <si>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</si>
  <si>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</si>
  <si>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</si>
  <si>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</si>
  <si>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</si>
  <si>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</si>
  <si>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</si>
  <si>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</si>
  <si>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</si>
  <si>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</si>
  <si>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</si>
  <si>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</si>
  <si>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</si>
  <si>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</si>
  <si>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</si>
  <si>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</si>
  <si>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</si>
  <si>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</si>
  <si>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</si>
  <si>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</si>
  <si>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</si>
  <si>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</si>
  <si>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</si>
  <si>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</si>
  <si>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</si>
  <si>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</si>
  <si>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</si>
  <si>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</si>
  <si>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</si>
  <si>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</si>
  <si>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</si>
  <si>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</si>
  <si>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</si>
  <si>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</si>
  <si>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</si>
  <si>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</si>
  <si>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</si>
  <si>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</si>
  <si>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</si>
  <si>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</si>
  <si>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</si>
  <si>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</si>
  <si>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</si>
  <si>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</si>
  <si>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</si>
  <si>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</si>
  <si>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</si>
  <si>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</si>
  <si>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</si>
  <si>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</si>
  <si>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</si>
  <si>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</si>
  <si>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</si>
  <si>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</si>
  <si>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</si>
  <si>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</si>
  <si>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</si>
  <si>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</si>
  <si>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</si>
  <si>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</si>
  <si>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</si>
  <si>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</si>
  <si>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</si>
  <si>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</si>
  <si>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</si>
  <si>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</si>
  <si>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</si>
  <si>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</si>
  <si>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</si>
  <si>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</si>
  <si>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</si>
  <si>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</si>
  <si>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</si>
  <si>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</si>
  <si>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</si>
  <si>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</si>
  <si>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</si>
  <si>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</si>
  <si>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</si>
  <si>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</si>
  <si>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</si>
  <si>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</si>
  <si>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</si>
  <si>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</si>
  <si>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</si>
  <si>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</si>
  <si>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</si>
  <si>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</si>
  <si>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</si>
  <si>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</si>
  <si>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</si>
  <si>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</si>
  <si>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</si>
  <si>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</si>
  <si>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</si>
  <si>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</si>
  <si>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</si>
  <si>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</si>
  <si>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</si>
  <si>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</si>
  <si>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</si>
  <si>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</si>
  <si>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</si>
  <si>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</si>
  <si>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</si>
  <si>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</si>
  <si>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</si>
  <si>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</si>
  <si>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</si>
  <si>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</si>
  <si>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</si>
  <si>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</si>
  <si>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</si>
  <si>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</si>
  <si>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</si>
  <si>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</si>
  <si>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</si>
  <si>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</si>
  <si>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</si>
  <si>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</si>
  <si>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</si>
  <si>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</si>
  <si>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</si>
  <si>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</si>
  <si>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</si>
  <si>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</si>
  <si>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</si>
  <si>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</si>
  <si>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</si>
  <si>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</si>
  <si>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</si>
  <si>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</si>
  <si>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</si>
  <si>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</si>
  <si>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</si>
  <si>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</si>
  <si>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</si>
  <si>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</si>
  <si>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</si>
  <si>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</si>
  <si>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</si>
  <si>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</si>
  <si>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</si>
  <si>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</si>
  <si>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</si>
  <si>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</si>
  <si>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</si>
  <si>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</si>
  <si>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</si>
  <si>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</si>
  <si>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</si>
  <si>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</si>
  <si>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</si>
  <si>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</si>
  <si>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</si>
  <si>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</si>
  <si>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</si>
  <si>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</si>
  <si>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</si>
  <si>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</si>
  <si>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</si>
  <si>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</si>
  <si>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</si>
  <si>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</si>
  <si>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</si>
  <si>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</si>
  <si>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</si>
  <si>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</si>
  <si>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</si>
  <si>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</si>
  <si>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</si>
  <si>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</si>
  <si>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</si>
  <si>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</si>
  <si>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</si>
  <si>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</si>
  <si>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</si>
  <si>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</si>
  <si>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</si>
  <si>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</si>
  <si>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</si>
  <si>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</si>
  <si>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</si>
  <si>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</si>
  <si>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</si>
  <si>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</si>
  <si>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</si>
  <si>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</si>
  <si>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</si>
  <si>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</si>
  <si>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</si>
  <si>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</si>
  <si>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</si>
  <si>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</si>
  <si>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</si>
  <si>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</si>
  <si>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</si>
  <si>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</si>
  <si>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</si>
  <si>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</si>
  <si>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</si>
  <si>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</si>
  <si>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</si>
  <si>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</si>
  <si>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</si>
  <si>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</si>
  <si>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</si>
  <si>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</si>
  <si>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</si>
  <si>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</si>
  <si>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</si>
  <si>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</si>
  <si>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</si>
  <si>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</si>
  <si>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</si>
  <si>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</si>
  <si>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</si>
  <si>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</si>
  <si>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</si>
  <si>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</si>
  <si>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</si>
  <si>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</si>
  <si>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</si>
  <si>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</si>
  <si>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</si>
  <si>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</si>
  <si>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</si>
  <si>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</si>
  <si>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</si>
  <si>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</si>
  <si>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</si>
  <si>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</si>
  <si>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</si>
  <si>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</si>
  <si>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</si>
  <si>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</si>
  <si>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</si>
  <si>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</si>
  <si>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</si>
  <si>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</si>
  <si>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</si>
  <si>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</si>
  <si>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</si>
  <si>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</si>
  <si>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</si>
  <si>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</si>
  <si>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</si>
  <si>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</si>
  <si>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</si>
  <si>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</si>
  <si>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</si>
  <si>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</si>
  <si>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</si>
  <si>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</si>
  <si>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</si>
  <si>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</si>
  <si>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</si>
  <si>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</si>
  <si>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</si>
  <si>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</si>
  <si>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</si>
  <si>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</si>
  <si>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</si>
  <si>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</si>
  <si>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</si>
  <si>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</si>
  <si>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</si>
  <si>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</si>
  <si>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</si>
  <si>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</si>
  <si>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</si>
  <si>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</si>
  <si>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</si>
  <si>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</si>
  <si>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</si>
  <si>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</si>
  <si>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</si>
  <si>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</si>
  <si>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</si>
  <si>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</si>
  <si>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</si>
  <si>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</si>
  <si>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</si>
  <si>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</si>
  <si>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</si>
  <si>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</si>
  <si>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</si>
  <si>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</si>
  <si>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</si>
  <si>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</si>
  <si>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</si>
  <si>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</si>
  <si>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</si>
  <si>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</si>
  <si>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</si>
  <si>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</si>
  <si>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</si>
  <si>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</si>
  <si>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</si>
  <si>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</si>
  <si>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</si>
  <si>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</si>
  <si>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</si>
  <si>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</si>
  <si>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</si>
  <si>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</si>
  <si>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</si>
  <si>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</si>
  <si>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</si>
  <si>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</si>
  <si>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</si>
  <si>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</si>
  <si>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</si>
  <si>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</si>
  <si>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</si>
  <si>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</si>
  <si>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</si>
  <si>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</si>
  <si>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</si>
  <si>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</si>
  <si>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</si>
  <si>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</si>
  <si>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</si>
  <si>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</si>
  <si>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</si>
  <si>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</si>
  <si>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</si>
  <si>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</si>
  <si>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</si>
  <si>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</si>
  <si>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</si>
  <si>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</si>
  <si>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</si>
  <si>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</si>
  <si>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</si>
  <si>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</si>
  <si>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</si>
  <si>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</si>
  <si>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</si>
  <si>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</si>
  <si>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</si>
  <si>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</si>
  <si>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</si>
  <si>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</si>
  <si>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</si>
  <si>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</si>
  <si>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</si>
  <si>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</si>
  <si>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</si>
  <si>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</si>
  <si>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</si>
  <si>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</si>
  <si>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</si>
  <si>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</si>
  <si>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</si>
  <si>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</si>
  <si>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</si>
  <si>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</si>
  <si>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</si>
  <si>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</si>
  <si>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</si>
  <si>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</si>
  <si>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</si>
  <si>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</si>
  <si>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</si>
  <si>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</si>
  <si>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</si>
  <si>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</si>
  <si>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</si>
  <si>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</si>
  <si>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</si>
  <si>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</si>
  <si>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</si>
  <si>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</si>
  <si>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</si>
  <si>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</si>
  <si>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</si>
  <si>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</si>
  <si>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</si>
  <si>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</si>
  <si>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</si>
  <si>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</si>
  <si>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</si>
  <si>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</si>
  <si>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</si>
  <si>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</si>
  <si>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</si>
  <si>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</si>
  <si>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</si>
  <si>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</si>
  <si>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</si>
  <si>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</si>
  <si>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</si>
  <si>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</si>
  <si>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</si>
  <si>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</si>
  <si>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</si>
  <si>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</si>
  <si>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</si>
  <si>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</si>
  <si>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</si>
  <si>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</si>
  <si>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</si>
  <si>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</si>
  <si>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</si>
  <si>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</si>
  <si>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</si>
  <si>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</si>
  <si>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</si>
  <si>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</si>
  <si>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</si>
  <si>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</si>
  <si>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</si>
  <si>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</si>
  <si>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</si>
  <si>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</si>
  <si>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</si>
  <si>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</si>
  <si>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</si>
  <si>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</si>
  <si>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</si>
  <si>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</si>
  <si>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</si>
  <si>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</si>
  <si>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</si>
  <si>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</si>
  <si>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</si>
  <si>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</si>
  <si>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</si>
  <si>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</si>
  <si>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</si>
  <si>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</si>
  <si>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</si>
  <si>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</si>
  <si>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</si>
  <si>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</si>
  <si>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</si>
  <si>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</si>
  <si>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</si>
  <si>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10/2008</t>
  </si>
  <si>
    <t>9/2009</t>
  </si>
  <si>
    <t>10/2013</t>
  </si>
  <si>
    <t>11/2013</t>
  </si>
  <si>
    <t>DUE TO/FROM OTHER FUNDS ADJUSTMENT</t>
  </si>
  <si>
    <t>BATH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</si>
</sst>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abSelected="1" topLeftCell="A617" zoomScale="75" zoomScaleNormal="75" workbookViewId="0">
      <selection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39</v>
      </c>
      <c r="C2" s="21">
        <v>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250632.63+100</f>
        <v>250732.63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43701.93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6614.67+0.05</f>
        <v>6614.72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4884</v>
      </c>
      <c r="G13" s="18">
        <v>3376.91</v>
      </c>
      <c r="H13" s="18">
        <f>15599.61-1236</f>
        <v>14363.61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2386.02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264617.37</v>
      </c>
      <c r="G19" s="41">
        <f>SUM(G9:G18)</f>
        <v>3376.91</v>
      </c>
      <c r="H19" s="41">
        <f>SUM(H9:H18)</f>
        <v>14363.61</v>
      </c>
      <c r="I19" s="41">
        <f>SUM(I9:I18)</f>
        <v>0</v>
      </c>
      <c r="J19" s="41">
        <f>SUM(J9:J18)</f>
        <v>43701.93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2472.7199999999998</v>
      </c>
      <c r="H22" s="18">
        <v>4141.95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22713.31</v>
      </c>
      <c r="G24" s="18">
        <v>770.31</v>
      </c>
      <c r="H24" s="18">
        <v>9137.9599999999991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1028</v>
      </c>
      <c r="G28" s="18">
        <v>113.05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78.65+110.72+2.15</f>
        <v>191.52</v>
      </c>
      <c r="G29" s="18">
        <f>8.65+12.18</f>
        <v>20.83</v>
      </c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1083.7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23932.83</v>
      </c>
      <c r="G32" s="41">
        <f>SUM(G22:G31)</f>
        <v>3376.91</v>
      </c>
      <c r="H32" s="41">
        <f>SUM(H22:H31)</f>
        <v>14363.61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50000</v>
      </c>
      <c r="G47" s="18"/>
      <c r="H47" s="18"/>
      <c r="I47" s="18"/>
      <c r="J47" s="13">
        <f>SUM(I458)</f>
        <v>43701.93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8068.9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182615.59+0.05</f>
        <v>182615.63999999998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240684.53999999998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43701.93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264617.37</v>
      </c>
      <c r="G51" s="41">
        <f>G50+G32</f>
        <v>3376.91</v>
      </c>
      <c r="H51" s="41">
        <f>H50+H32</f>
        <v>14363.61</v>
      </c>
      <c r="I51" s="41">
        <f>I50+I32</f>
        <v>0</v>
      </c>
      <c r="J51" s="41">
        <f>J50+J32</f>
        <v>43701.93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1344949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1344949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84.11</v>
      </c>
      <c r="G95" s="18"/>
      <c r="H95" s="18"/>
      <c r="I95" s="18"/>
      <c r="J95" s="18">
        <v>59.83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13347.35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155.95+25569.75</f>
        <v>25725.7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1359.95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1056.04</v>
      </c>
      <c r="G109" s="18">
        <v>808.41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2500.1</v>
      </c>
      <c r="G110" s="41">
        <f>SUM(G95:G109)</f>
        <v>14155.76</v>
      </c>
      <c r="H110" s="41">
        <f>SUM(H95:H109)</f>
        <v>25725.7</v>
      </c>
      <c r="I110" s="41">
        <f>SUM(I95:I109)</f>
        <v>0</v>
      </c>
      <c r="J110" s="41">
        <f>SUM(J95:J109)</f>
        <v>59.83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1347449.1</v>
      </c>
      <c r="G111" s="41">
        <f>G59+G110</f>
        <v>14155.76</v>
      </c>
      <c r="H111" s="41">
        <f>H59+H78+H93+H110</f>
        <v>25725.7</v>
      </c>
      <c r="I111" s="41">
        <f>I59+I110</f>
        <v>0</v>
      </c>
      <c r="J111" s="41">
        <f>J59+J110</f>
        <v>59.83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451073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284060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735133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26377.53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8940.0499999999993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709.57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395.07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36027.15</v>
      </c>
      <c r="G135" s="41">
        <f>SUM(G122:G134)</f>
        <v>395.07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771160.15</v>
      </c>
      <c r="G139" s="41">
        <f>G120+SUM(G135:G136)</f>
        <v>395.07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713.7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1842.48+31682.25</f>
        <v>33524.730000000003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1081.9+11576.36+493.59+2683.36</f>
        <v>15835.210000000001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2722.77+13553.46</f>
        <v>16276.23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22801.55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22801.55</v>
      </c>
      <c r="G161" s="41">
        <f>SUM(G149:G160)</f>
        <v>16276.23</v>
      </c>
      <c r="H161" s="41">
        <f>SUM(H149:H160)</f>
        <v>50073.64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184.26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22985.809999999998</v>
      </c>
      <c r="G168" s="41">
        <f>G146+G161+SUM(G162:G167)</f>
        <v>16276.23</v>
      </c>
      <c r="H168" s="41">
        <f>H146+H161+SUM(H162:H167)</f>
        <v>50073.64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23460.99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23460.99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23460.99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2141595.06</v>
      </c>
      <c r="G192" s="47">
        <f>G111+G139+G168+G191</f>
        <v>54288.05</v>
      </c>
      <c r="H192" s="47">
        <f>H111+H139+H168+H191</f>
        <v>75799.34</v>
      </c>
      <c r="I192" s="47">
        <f>I111+I139+I168+I191</f>
        <v>0</v>
      </c>
      <c r="J192" s="47">
        <f>J111+J139+J191</f>
        <v>59.83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284701.19</v>
      </c>
      <c r="G196" s="18">
        <v>95598.11</v>
      </c>
      <c r="H196" s="18">
        <f>47311.96+710.88</f>
        <v>48022.84</v>
      </c>
      <c r="I196" s="18">
        <v>17658.52</v>
      </c>
      <c r="J196" s="18">
        <v>74.989999999999995</v>
      </c>
      <c r="K196" s="18">
        <v>663.1</v>
      </c>
      <c r="L196" s="19">
        <f>SUM(F196:K196)</f>
        <v>446718.75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33150.01</v>
      </c>
      <c r="G197" s="18">
        <v>10120.459999999999</v>
      </c>
      <c r="H197" s="18">
        <f>14747.15+56.26</f>
        <v>14803.41</v>
      </c>
      <c r="I197" s="18">
        <v>2589.3000000000002</v>
      </c>
      <c r="J197" s="18"/>
      <c r="K197" s="18"/>
      <c r="L197" s="19">
        <f>SUM(F197:K197)</f>
        <v>60663.180000000008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3825</v>
      </c>
      <c r="G199" s="18">
        <v>473.41</v>
      </c>
      <c r="H199" s="18">
        <v>225</v>
      </c>
      <c r="I199" s="18">
        <v>559.36</v>
      </c>
      <c r="J199" s="18"/>
      <c r="K199" s="18">
        <v>285</v>
      </c>
      <c r="L199" s="19">
        <f>SUM(F199:K199)</f>
        <v>5367.7699999999995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8542.83</v>
      </c>
      <c r="G201" s="18">
        <v>695.79</v>
      </c>
      <c r="H201" s="18">
        <f>32078.18+771</f>
        <v>32849.18</v>
      </c>
      <c r="I201" s="18">
        <v>1633.29</v>
      </c>
      <c r="J201" s="18"/>
      <c r="K201" s="18">
        <v>190</v>
      </c>
      <c r="L201" s="19">
        <f t="shared" ref="L201:L207" si="0">SUM(F201:K201)</f>
        <v>43911.090000000004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747.5</v>
      </c>
      <c r="G202" s="18">
        <v>643.86</v>
      </c>
      <c r="H202" s="18">
        <f>17518.55+83.06</f>
        <v>17601.61</v>
      </c>
      <c r="I202" s="18">
        <v>1731.64</v>
      </c>
      <c r="J202" s="18"/>
      <c r="K202" s="18"/>
      <c r="L202" s="19">
        <f t="shared" si="0"/>
        <v>20724.61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1161.26</v>
      </c>
      <c r="G203" s="18">
        <v>88.98</v>
      </c>
      <c r="H203" s="18">
        <f>53141.24+1216.79</f>
        <v>54358.03</v>
      </c>
      <c r="I203" s="18">
        <v>224.79</v>
      </c>
      <c r="J203" s="18"/>
      <c r="K203" s="18">
        <v>1089.82</v>
      </c>
      <c r="L203" s="19">
        <f t="shared" si="0"/>
        <v>56922.879999999997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83177.320000000007</v>
      </c>
      <c r="G204" s="18">
        <v>30161.64</v>
      </c>
      <c r="H204" s="18">
        <v>2392.48</v>
      </c>
      <c r="I204" s="18">
        <v>951.1</v>
      </c>
      <c r="J204" s="18">
        <v>1127.3699999999999</v>
      </c>
      <c r="K204" s="18">
        <v>833.94</v>
      </c>
      <c r="L204" s="19">
        <f t="shared" si="0"/>
        <v>118643.85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26728</v>
      </c>
      <c r="G206" s="18">
        <v>12009.68</v>
      </c>
      <c r="H206" s="18">
        <f>15274.99+828</f>
        <v>16102.99</v>
      </c>
      <c r="I206" s="18">
        <v>47621.54</v>
      </c>
      <c r="J206" s="18">
        <v>11872.58</v>
      </c>
      <c r="K206" s="18"/>
      <c r="L206" s="19">
        <f t="shared" si="0"/>
        <v>114334.79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28712.23</v>
      </c>
      <c r="I207" s="18"/>
      <c r="J207" s="18"/>
      <c r="K207" s="18"/>
      <c r="L207" s="19">
        <f t="shared" si="0"/>
        <v>28712.23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164.52</v>
      </c>
      <c r="I208" s="18">
        <v>396</v>
      </c>
      <c r="J208" s="18"/>
      <c r="K208" s="18"/>
      <c r="L208" s="19">
        <f>SUM(F208:K208)</f>
        <v>560.52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442033.11000000004</v>
      </c>
      <c r="G210" s="41">
        <f t="shared" si="1"/>
        <v>149791.93</v>
      </c>
      <c r="H210" s="41">
        <f t="shared" si="1"/>
        <v>215232.29</v>
      </c>
      <c r="I210" s="41">
        <f t="shared" si="1"/>
        <v>73365.540000000008</v>
      </c>
      <c r="J210" s="41">
        <f t="shared" si="1"/>
        <v>13074.94</v>
      </c>
      <c r="K210" s="41">
        <f t="shared" si="1"/>
        <v>3061.86</v>
      </c>
      <c r="L210" s="41">
        <f t="shared" si="1"/>
        <v>896559.67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222550.35</v>
      </c>
      <c r="I214" s="18"/>
      <c r="J214" s="18"/>
      <c r="K214" s="18"/>
      <c r="L214" s="19">
        <f>SUM(F214:K214)</f>
        <v>222550.35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10958.75</v>
      </c>
      <c r="I215" s="18"/>
      <c r="J215" s="18"/>
      <c r="K215" s="18"/>
      <c r="L215" s="19">
        <f>SUM(F215:K215)</f>
        <v>10958.75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>
        <v>1188.8</v>
      </c>
      <c r="I217" s="18"/>
      <c r="J217" s="18"/>
      <c r="K217" s="18"/>
      <c r="L217" s="19">
        <f>SUM(F217:K217)</f>
        <v>1188.8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450.28</v>
      </c>
      <c r="G221" s="18">
        <v>34.520000000000003</v>
      </c>
      <c r="H221" s="18">
        <f>20605.79+471.81</f>
        <v>21077.600000000002</v>
      </c>
      <c r="I221" s="18">
        <v>51.11</v>
      </c>
      <c r="J221" s="18"/>
      <c r="K221" s="18">
        <v>422.59</v>
      </c>
      <c r="L221" s="19">
        <f t="shared" si="2"/>
        <v>22036.100000000002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32968.68</v>
      </c>
      <c r="I225" s="18"/>
      <c r="J225" s="18"/>
      <c r="K225" s="18"/>
      <c r="L225" s="19">
        <f t="shared" si="2"/>
        <v>32968.68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450.28</v>
      </c>
      <c r="G228" s="41">
        <f>SUM(G214:G227)</f>
        <v>34.520000000000003</v>
      </c>
      <c r="H228" s="41">
        <f>SUM(H214:H227)</f>
        <v>288744.18</v>
      </c>
      <c r="I228" s="41">
        <f>SUM(I214:I227)</f>
        <v>51.11</v>
      </c>
      <c r="J228" s="41">
        <f>SUM(J214:J227)</f>
        <v>0</v>
      </c>
      <c r="K228" s="41">
        <f t="shared" si="3"/>
        <v>422.59</v>
      </c>
      <c r="L228" s="41">
        <f t="shared" si="3"/>
        <v>289702.68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471879.43</v>
      </c>
      <c r="I232" s="18"/>
      <c r="J232" s="18"/>
      <c r="K232" s="18"/>
      <c r="L232" s="19">
        <f>SUM(F232:K232)</f>
        <v>471879.43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79997.63</v>
      </c>
      <c r="I233" s="18"/>
      <c r="J233" s="18"/>
      <c r="K233" s="18"/>
      <c r="L233" s="19">
        <f>SUM(F233:K233)</f>
        <v>79997.63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35239.360000000001</v>
      </c>
      <c r="I234" s="18"/>
      <c r="J234" s="18"/>
      <c r="K234" s="18"/>
      <c r="L234" s="19">
        <f>SUM(F234:K234)</f>
        <v>35239.360000000001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>
        <v>1878.83</v>
      </c>
      <c r="I235" s="18"/>
      <c r="J235" s="18"/>
      <c r="K235" s="18"/>
      <c r="L235" s="19">
        <f>SUM(F235:K235)</f>
        <v>1878.83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8143.73</v>
      </c>
      <c r="I237" s="18"/>
      <c r="J237" s="18"/>
      <c r="K237" s="18"/>
      <c r="L237" s="19">
        <f t="shared" ref="L237:L243" si="4">SUM(F237:K237)</f>
        <v>8143.73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758.35</v>
      </c>
      <c r="G239" s="18">
        <v>57.99</v>
      </c>
      <c r="H239" s="18">
        <f>34704.48+794.63</f>
        <v>35499.11</v>
      </c>
      <c r="I239" s="18">
        <v>86.1</v>
      </c>
      <c r="J239" s="18"/>
      <c r="K239" s="18">
        <v>711.72</v>
      </c>
      <c r="L239" s="19">
        <f t="shared" si="4"/>
        <v>37113.269999999997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31138.31</v>
      </c>
      <c r="I243" s="18"/>
      <c r="J243" s="18"/>
      <c r="K243" s="18"/>
      <c r="L243" s="19">
        <f t="shared" si="4"/>
        <v>31138.31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758.35</v>
      </c>
      <c r="G246" s="41">
        <f t="shared" si="5"/>
        <v>57.99</v>
      </c>
      <c r="H246" s="41">
        <f t="shared" si="5"/>
        <v>663776.4</v>
      </c>
      <c r="I246" s="41">
        <f t="shared" si="5"/>
        <v>86.1</v>
      </c>
      <c r="J246" s="41">
        <f t="shared" si="5"/>
        <v>0</v>
      </c>
      <c r="K246" s="41">
        <f t="shared" si="5"/>
        <v>711.72</v>
      </c>
      <c r="L246" s="41">
        <f t="shared" si="5"/>
        <v>665390.56000000006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443241.74000000005</v>
      </c>
      <c r="G256" s="41">
        <f t="shared" si="8"/>
        <v>149884.43999999997</v>
      </c>
      <c r="H256" s="41">
        <f t="shared" si="8"/>
        <v>1167752.8700000001</v>
      </c>
      <c r="I256" s="41">
        <f t="shared" si="8"/>
        <v>73502.750000000015</v>
      </c>
      <c r="J256" s="41">
        <f t="shared" si="8"/>
        <v>13074.94</v>
      </c>
      <c r="K256" s="41">
        <f t="shared" si="8"/>
        <v>4196.17</v>
      </c>
      <c r="L256" s="41">
        <f t="shared" si="8"/>
        <v>1851652.9100000001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23848</v>
      </c>
      <c r="L259" s="19">
        <f>SUM(F259:K259)</f>
        <v>23848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1948.62</v>
      </c>
      <c r="L260" s="19">
        <f>SUM(F260:K260)</f>
        <v>1948.62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23460.99</v>
      </c>
      <c r="L262" s="19">
        <f>SUM(F262:K262)</f>
        <v>23460.99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49257.61</v>
      </c>
      <c r="L269" s="41">
        <f t="shared" si="9"/>
        <v>49257.61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443241.74000000005</v>
      </c>
      <c r="G270" s="42">
        <f t="shared" si="11"/>
        <v>149884.43999999997</v>
      </c>
      <c r="H270" s="42">
        <f t="shared" si="11"/>
        <v>1167752.8700000001</v>
      </c>
      <c r="I270" s="42">
        <f t="shared" si="11"/>
        <v>73502.750000000015</v>
      </c>
      <c r="J270" s="42">
        <f t="shared" si="11"/>
        <v>13074.94</v>
      </c>
      <c r="K270" s="42">
        <f t="shared" si="11"/>
        <v>53453.78</v>
      </c>
      <c r="L270" s="42">
        <f t="shared" si="11"/>
        <v>1900910.5200000003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v>155.94999999999999</v>
      </c>
      <c r="I275" s="18">
        <v>3300</v>
      </c>
      <c r="J275" s="18"/>
      <c r="K275" s="18"/>
      <c r="L275" s="19">
        <f>SUM(F275:K275)</f>
        <v>3455.95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19379.990000000002</v>
      </c>
      <c r="G276" s="18">
        <v>7099.08</v>
      </c>
      <c r="H276" s="18"/>
      <c r="I276" s="18">
        <v>3285.11</v>
      </c>
      <c r="J276" s="18">
        <v>6016.34</v>
      </c>
      <c r="K276" s="18"/>
      <c r="L276" s="19">
        <f>SUM(F276:K276)</f>
        <v>35780.520000000004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43.75</v>
      </c>
      <c r="G278" s="18">
        <v>3.34</v>
      </c>
      <c r="H278" s="18"/>
      <c r="I278" s="18">
        <v>242.82</v>
      </c>
      <c r="J278" s="18"/>
      <c r="K278" s="18"/>
      <c r="L278" s="19">
        <f>SUM(F278:K278)</f>
        <v>289.90999999999997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600</v>
      </c>
      <c r="G281" s="18">
        <v>3394.7</v>
      </c>
      <c r="H281" s="18">
        <f>2523.44+139.64</f>
        <v>2663.08</v>
      </c>
      <c r="I281" s="18">
        <v>142.26</v>
      </c>
      <c r="J281" s="18">
        <v>3271.92</v>
      </c>
      <c r="K281" s="18"/>
      <c r="L281" s="19">
        <f t="shared" si="12"/>
        <v>10071.959999999999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631.25</v>
      </c>
      <c r="L282" s="19">
        <f t="shared" si="12"/>
        <v>631.25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>
        <v>73.5</v>
      </c>
      <c r="J285" s="18">
        <v>25496.25</v>
      </c>
      <c r="K285" s="18"/>
      <c r="L285" s="19">
        <f t="shared" si="12"/>
        <v>25569.75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20023.740000000002</v>
      </c>
      <c r="G289" s="42">
        <f t="shared" si="13"/>
        <v>10497.119999999999</v>
      </c>
      <c r="H289" s="42">
        <f t="shared" si="13"/>
        <v>2819.0299999999997</v>
      </c>
      <c r="I289" s="42">
        <f t="shared" si="13"/>
        <v>7043.6900000000005</v>
      </c>
      <c r="J289" s="42">
        <f t="shared" si="13"/>
        <v>34784.51</v>
      </c>
      <c r="K289" s="42">
        <f t="shared" si="13"/>
        <v>631.25</v>
      </c>
      <c r="L289" s="41">
        <f t="shared" si="13"/>
        <v>75799.34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20023.740000000002</v>
      </c>
      <c r="G337" s="41">
        <f t="shared" si="20"/>
        <v>10497.119999999999</v>
      </c>
      <c r="H337" s="41">
        <f t="shared" si="20"/>
        <v>2819.0299999999997</v>
      </c>
      <c r="I337" s="41">
        <f t="shared" si="20"/>
        <v>7043.6900000000005</v>
      </c>
      <c r="J337" s="41">
        <f t="shared" si="20"/>
        <v>34784.51</v>
      </c>
      <c r="K337" s="41">
        <f t="shared" si="20"/>
        <v>631.25</v>
      </c>
      <c r="L337" s="41">
        <f t="shared" si="20"/>
        <v>75799.34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20023.740000000002</v>
      </c>
      <c r="G351" s="41">
        <f>G337</f>
        <v>10497.119999999999</v>
      </c>
      <c r="H351" s="41">
        <f>H337</f>
        <v>2819.0299999999997</v>
      </c>
      <c r="I351" s="41">
        <f>I337</f>
        <v>7043.6900000000005</v>
      </c>
      <c r="J351" s="41">
        <f>J337</f>
        <v>34784.51</v>
      </c>
      <c r="K351" s="47">
        <f>K337+K350</f>
        <v>631.25</v>
      </c>
      <c r="L351" s="41">
        <f>L337+L350</f>
        <v>75799.34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27645.62</v>
      </c>
      <c r="G357" s="18">
        <v>10265.040000000001</v>
      </c>
      <c r="H357" s="18">
        <v>94.35</v>
      </c>
      <c r="I357" s="18">
        <v>16283.04</v>
      </c>
      <c r="J357" s="18"/>
      <c r="K357" s="18"/>
      <c r="L357" s="13">
        <f>SUM(F357:K357)</f>
        <v>54288.05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27645.62</v>
      </c>
      <c r="G361" s="47">
        <f t="shared" si="22"/>
        <v>10265.040000000001</v>
      </c>
      <c r="H361" s="47">
        <f t="shared" si="22"/>
        <v>94.35</v>
      </c>
      <c r="I361" s="47">
        <f t="shared" si="22"/>
        <v>16283.04</v>
      </c>
      <c r="J361" s="47">
        <f t="shared" si="22"/>
        <v>0</v>
      </c>
      <c r="K361" s="47">
        <f t="shared" si="22"/>
        <v>0</v>
      </c>
      <c r="L361" s="47">
        <f t="shared" si="22"/>
        <v>54288.05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12420.91+2629.35</f>
        <v>15050.26</v>
      </c>
      <c r="G366" s="18"/>
      <c r="H366" s="18"/>
      <c r="I366" s="56">
        <f>SUM(F366:H366)</f>
        <v>15050.26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93.42+1124.36+15</f>
        <v>1232.78</v>
      </c>
      <c r="G367" s="63"/>
      <c r="H367" s="63"/>
      <c r="I367" s="56">
        <f>SUM(F367:H367)</f>
        <v>1232.78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16283.04</v>
      </c>
      <c r="G368" s="47">
        <f>SUM(G366:G367)</f>
        <v>0</v>
      </c>
      <c r="H368" s="47">
        <f>SUM(H366:H367)</f>
        <v>0</v>
      </c>
      <c r="I368" s="47">
        <f>SUM(I366:I367)</f>
        <v>16283.04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27.42</v>
      </c>
      <c r="I396" s="18"/>
      <c r="J396" s="24" t="s">
        <v>289</v>
      </c>
      <c r="K396" s="24" t="s">
        <v>289</v>
      </c>
      <c r="L396" s="56">
        <f t="shared" si="26"/>
        <v>27.42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32.409999999999997</v>
      </c>
      <c r="I397" s="18"/>
      <c r="J397" s="24" t="s">
        <v>289</v>
      </c>
      <c r="K397" s="24" t="s">
        <v>289</v>
      </c>
      <c r="L397" s="56">
        <f t="shared" si="26"/>
        <v>32.409999999999997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59.83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59.83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59.83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59.83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3116.13</v>
      </c>
      <c r="L422" s="56">
        <f t="shared" si="29"/>
        <v>3116.13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>
        <v>3116.13</v>
      </c>
      <c r="L423" s="56">
        <f t="shared" si="29"/>
        <v>3116.13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6232.26</v>
      </c>
      <c r="L426" s="47">
        <f t="shared" si="30"/>
        <v>6232.26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6232.26</v>
      </c>
      <c r="L433" s="47">
        <f t="shared" si="32"/>
        <v>6232.26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43701.93</v>
      </c>
      <c r="H439" s="18"/>
      <c r="I439" s="56">
        <f t="shared" si="33"/>
        <v>43701.93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43701.93</v>
      </c>
      <c r="H445" s="13">
        <f>SUM(H438:H444)</f>
        <v>0</v>
      </c>
      <c r="I445" s="13">
        <f>SUM(I438:I444)</f>
        <v>43701.93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43701.93</v>
      </c>
      <c r="H458" s="18"/>
      <c r="I458" s="56">
        <f t="shared" si="34"/>
        <v>43701.93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43701.93</v>
      </c>
      <c r="H459" s="83">
        <f>SUM(H453:H458)</f>
        <v>0</v>
      </c>
      <c r="I459" s="83">
        <f>SUM(I453:I458)</f>
        <v>43701.93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43701.93</v>
      </c>
      <c r="H460" s="42">
        <f>H451+H459</f>
        <v>0</v>
      </c>
      <c r="I460" s="42">
        <f>I451+I459</f>
        <v>43701.93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/>
      <c r="G464" s="18"/>
      <c r="H464" s="18"/>
      <c r="I464" s="18"/>
      <c r="J464" s="18">
        <v>49874.36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2141595.06</f>
        <v>2141595.06</v>
      </c>
      <c r="G467" s="18">
        <f>51565.28+2722.77</f>
        <v>54288.049999999996</v>
      </c>
      <c r="H467" s="18">
        <v>75799.34</v>
      </c>
      <c r="I467" s="18"/>
      <c r="J467" s="18">
        <v>59.83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2141595.06</v>
      </c>
      <c r="G469" s="53">
        <f>SUM(G467:G468)</f>
        <v>54288.049999999996</v>
      </c>
      <c r="H469" s="53">
        <f>SUM(H467:H468)</f>
        <v>75799.34</v>
      </c>
      <c r="I469" s="53">
        <f>SUM(I467:I468)</f>
        <v>0</v>
      </c>
      <c r="J469" s="53">
        <f>SUM(J467:J468)</f>
        <v>59.83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1900910.52</v>
      </c>
      <c r="G471" s="18">
        <f>51565.28+2722.77</f>
        <v>54288.049999999996</v>
      </c>
      <c r="H471" s="18">
        <v>75799.34</v>
      </c>
      <c r="I471" s="18"/>
      <c r="J471" s="18">
        <v>6232.26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1900910.52</v>
      </c>
      <c r="G473" s="53">
        <f>SUM(G471:G472)</f>
        <v>54288.049999999996</v>
      </c>
      <c r="H473" s="53">
        <f>SUM(H471:H472)</f>
        <v>75799.34</v>
      </c>
      <c r="I473" s="53">
        <f>SUM(I471:I472)</f>
        <v>0</v>
      </c>
      <c r="J473" s="53">
        <f>SUM(J471:J472)</f>
        <v>6232.26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240684.54000000004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43701.93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913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>
        <v>4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32000</v>
      </c>
      <c r="G492" s="18">
        <v>69830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f>6644.3+6911.19</f>
        <v>13555.49</v>
      </c>
      <c r="G494" s="18">
        <f>52372.5-17457.5</f>
        <v>34915</v>
      </c>
      <c r="H494" s="18"/>
      <c r="I494" s="18"/>
      <c r="J494" s="18"/>
      <c r="K494" s="53">
        <f>SUM(F494:J494)</f>
        <v>48470.49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6644.3</v>
      </c>
      <c r="G496" s="18">
        <v>17457.5</v>
      </c>
      <c r="H496" s="18"/>
      <c r="I496" s="18"/>
      <c r="J496" s="18"/>
      <c r="K496" s="53">
        <f t="shared" si="35"/>
        <v>24101.8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6911.19</v>
      </c>
      <c r="G497" s="204">
        <v>17457.5</v>
      </c>
      <c r="H497" s="204"/>
      <c r="I497" s="204"/>
      <c r="J497" s="204"/>
      <c r="K497" s="205">
        <f t="shared" si="35"/>
        <v>24368.69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276.08</v>
      </c>
      <c r="G498" s="18">
        <v>567.37</v>
      </c>
      <c r="H498" s="18"/>
      <c r="I498" s="18"/>
      <c r="J498" s="18"/>
      <c r="K498" s="53">
        <f t="shared" si="35"/>
        <v>843.45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7187.2699999999995</v>
      </c>
      <c r="G499" s="42">
        <f>SUM(G497:G498)</f>
        <v>18024.87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25212.14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6911.19</v>
      </c>
      <c r="G500" s="204">
        <v>17457.5</v>
      </c>
      <c r="H500" s="204"/>
      <c r="I500" s="204"/>
      <c r="J500" s="204"/>
      <c r="K500" s="205">
        <f t="shared" si="35"/>
        <v>24368.69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276.08</v>
      </c>
      <c r="G501" s="18">
        <v>567.37</v>
      </c>
      <c r="H501" s="18"/>
      <c r="I501" s="18"/>
      <c r="J501" s="18"/>
      <c r="K501" s="53">
        <f t="shared" si="35"/>
        <v>843.45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7187.2699999999995</v>
      </c>
      <c r="G502" s="42">
        <f>SUM(G500:G501)</f>
        <v>18024.87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25212.14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32700.01</v>
      </c>
      <c r="G520" s="18">
        <v>10035.200000000001</v>
      </c>
      <c r="H520" s="18">
        <f>14647.15+56.26</f>
        <v>14703.41</v>
      </c>
      <c r="I520" s="18">
        <v>1003.12</v>
      </c>
      <c r="J520" s="18"/>
      <c r="K520" s="18"/>
      <c r="L520" s="88">
        <f>SUM(F520:K520)</f>
        <v>58441.74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10958.75</v>
      </c>
      <c r="I521" s="18"/>
      <c r="J521" s="18"/>
      <c r="K521" s="18"/>
      <c r="L521" s="88">
        <f>SUM(F521:K521)</f>
        <v>10958.75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79997.63</v>
      </c>
      <c r="I522" s="18"/>
      <c r="J522" s="18"/>
      <c r="K522" s="18"/>
      <c r="L522" s="88">
        <f>SUM(F522:K522)</f>
        <v>79997.63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32700.01</v>
      </c>
      <c r="G523" s="108">
        <f t="shared" ref="G523:L523" si="36">SUM(G520:G522)</f>
        <v>10035.200000000001</v>
      </c>
      <c r="H523" s="108">
        <f t="shared" si="36"/>
        <v>105659.79000000001</v>
      </c>
      <c r="I523" s="108">
        <f t="shared" si="36"/>
        <v>1003.12</v>
      </c>
      <c r="J523" s="108">
        <f t="shared" si="36"/>
        <v>0</v>
      </c>
      <c r="K523" s="108">
        <f t="shared" si="36"/>
        <v>0</v>
      </c>
      <c r="L523" s="89">
        <f t="shared" si="36"/>
        <v>149398.12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19107.71</v>
      </c>
      <c r="I525" s="18"/>
      <c r="J525" s="18"/>
      <c r="K525" s="18"/>
      <c r="L525" s="88">
        <f>SUM(F525:K525)</f>
        <v>19107.71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8143.73</v>
      </c>
      <c r="I527" s="18"/>
      <c r="J527" s="18"/>
      <c r="K527" s="18"/>
      <c r="L527" s="88">
        <f>SUM(F527:K527)</f>
        <v>8143.73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27251.439999999999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27251.439999999999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11794</v>
      </c>
      <c r="I530" s="18"/>
      <c r="J530" s="18"/>
      <c r="K530" s="18"/>
      <c r="L530" s="88">
        <f>SUM(F530:K530)</f>
        <v>11794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2949</v>
      </c>
      <c r="I531" s="18"/>
      <c r="J531" s="18"/>
      <c r="K531" s="18"/>
      <c r="L531" s="88">
        <f>SUM(F531:K531)</f>
        <v>2949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6318</v>
      </c>
      <c r="I532" s="18"/>
      <c r="J532" s="18"/>
      <c r="K532" s="18"/>
      <c r="L532" s="88">
        <f>SUM(F532:K532)</f>
        <v>6318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21061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21061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785.11</v>
      </c>
      <c r="I541" s="18"/>
      <c r="J541" s="18"/>
      <c r="K541" s="18"/>
      <c r="L541" s="88">
        <f>SUM(F541:K541)</f>
        <v>785.11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632.21</v>
      </c>
      <c r="I542" s="18"/>
      <c r="J542" s="18"/>
      <c r="K542" s="18"/>
      <c r="L542" s="88">
        <f>SUM(F542:K542)</f>
        <v>632.21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1417.3200000000002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1417.3200000000002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32700.01</v>
      </c>
      <c r="G544" s="89">
        <f t="shared" ref="G544:L544" si="41">G523+G528+G533+G538+G543</f>
        <v>10035.200000000001</v>
      </c>
      <c r="H544" s="89">
        <f t="shared" si="41"/>
        <v>155389.55000000002</v>
      </c>
      <c r="I544" s="89">
        <f t="shared" si="41"/>
        <v>1003.12</v>
      </c>
      <c r="J544" s="89">
        <f t="shared" si="41"/>
        <v>0</v>
      </c>
      <c r="K544" s="89">
        <f t="shared" si="41"/>
        <v>0</v>
      </c>
      <c r="L544" s="89">
        <f t="shared" si="41"/>
        <v>199127.88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58441.74</v>
      </c>
      <c r="G548" s="87">
        <f>L525</f>
        <v>19107.71</v>
      </c>
      <c r="H548" s="87">
        <f>L530</f>
        <v>11794</v>
      </c>
      <c r="I548" s="87">
        <f>L535</f>
        <v>0</v>
      </c>
      <c r="J548" s="87">
        <f>L540</f>
        <v>0</v>
      </c>
      <c r="K548" s="87">
        <f>SUM(F548:J548)</f>
        <v>89343.45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10958.75</v>
      </c>
      <c r="G549" s="87">
        <f>L526</f>
        <v>0</v>
      </c>
      <c r="H549" s="87">
        <f>L531</f>
        <v>2949</v>
      </c>
      <c r="I549" s="87">
        <f>L536</f>
        <v>0</v>
      </c>
      <c r="J549" s="87">
        <f>L541</f>
        <v>785.11</v>
      </c>
      <c r="K549" s="87">
        <f>SUM(F549:J549)</f>
        <v>14692.86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79997.63</v>
      </c>
      <c r="G550" s="87">
        <f>L527</f>
        <v>8143.73</v>
      </c>
      <c r="H550" s="87">
        <f>L532</f>
        <v>6318</v>
      </c>
      <c r="I550" s="87">
        <f>L537</f>
        <v>0</v>
      </c>
      <c r="J550" s="87">
        <f>L542</f>
        <v>632.21</v>
      </c>
      <c r="K550" s="87">
        <f>SUM(F550:J550)</f>
        <v>95091.57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149398.12</v>
      </c>
      <c r="G551" s="89">
        <f t="shared" si="42"/>
        <v>27251.439999999999</v>
      </c>
      <c r="H551" s="89">
        <f t="shared" si="42"/>
        <v>21061</v>
      </c>
      <c r="I551" s="89">
        <f t="shared" si="42"/>
        <v>0</v>
      </c>
      <c r="J551" s="89">
        <f t="shared" si="42"/>
        <v>1417.3200000000002</v>
      </c>
      <c r="K551" s="89">
        <f t="shared" si="42"/>
        <v>199127.88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19079.990000000002</v>
      </c>
      <c r="G556" s="18">
        <v>7042.22</v>
      </c>
      <c r="H556" s="18"/>
      <c r="I556" s="18">
        <v>933.41</v>
      </c>
      <c r="J556" s="18">
        <v>5547.95</v>
      </c>
      <c r="K556" s="18"/>
      <c r="L556" s="88">
        <f>SUM(F556:K556)</f>
        <v>32603.570000000003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19079.990000000002</v>
      </c>
      <c r="G559" s="108">
        <f t="shared" si="43"/>
        <v>7042.22</v>
      </c>
      <c r="H559" s="108">
        <f t="shared" si="43"/>
        <v>0</v>
      </c>
      <c r="I559" s="108">
        <f t="shared" si="43"/>
        <v>933.41</v>
      </c>
      <c r="J559" s="108">
        <f t="shared" si="43"/>
        <v>5547.95</v>
      </c>
      <c r="K559" s="108">
        <f t="shared" si="43"/>
        <v>0</v>
      </c>
      <c r="L559" s="89">
        <f t="shared" si="43"/>
        <v>32603.570000000003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19079.990000000002</v>
      </c>
      <c r="G570" s="89">
        <f t="shared" ref="G570:L570" si="46">G559+G564+G569</f>
        <v>7042.22</v>
      </c>
      <c r="H570" s="89">
        <f t="shared" si="46"/>
        <v>0</v>
      </c>
      <c r="I570" s="89">
        <f t="shared" si="46"/>
        <v>933.41</v>
      </c>
      <c r="J570" s="89">
        <f t="shared" si="46"/>
        <v>5547.95</v>
      </c>
      <c r="K570" s="89">
        <f t="shared" si="46"/>
        <v>0</v>
      </c>
      <c r="L570" s="89">
        <f t="shared" si="46"/>
        <v>32603.570000000003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617.64</v>
      </c>
      <c r="G574" s="18">
        <v>222550.35</v>
      </c>
      <c r="H574" s="18">
        <v>399029.43</v>
      </c>
      <c r="I574" s="87">
        <f>SUM(F574:H574)</f>
        <v>622197.42000000004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72850</v>
      </c>
      <c r="I575" s="87">
        <f t="shared" ref="I575:I586" si="47">SUM(F575:H575)</f>
        <v>72850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>
        <v>10958.75</v>
      </c>
      <c r="H578" s="18">
        <v>33782.75</v>
      </c>
      <c r="I578" s="87">
        <f t="shared" si="47"/>
        <v>44741.5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858</v>
      </c>
      <c r="I579" s="87">
        <f t="shared" si="47"/>
        <v>858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45356.88</v>
      </c>
      <c r="I581" s="87">
        <f t="shared" si="47"/>
        <v>45356.88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35239.360000000001</v>
      </c>
      <c r="I584" s="87">
        <f t="shared" si="47"/>
        <v>35239.360000000001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25748.66</v>
      </c>
      <c r="I590" s="18">
        <v>32183.57</v>
      </c>
      <c r="J590" s="18">
        <v>28335.46</v>
      </c>
      <c r="K590" s="104">
        <f t="shared" ref="K590:K596" si="48">SUM(H590:J590)</f>
        <v>86267.69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>
        <v>785.11</v>
      </c>
      <c r="J591" s="18">
        <v>632.21</v>
      </c>
      <c r="K591" s="104">
        <f t="shared" si="48"/>
        <v>1417.3200000000002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2170.64</v>
      </c>
      <c r="K592" s="104">
        <f t="shared" si="48"/>
        <v>2170.64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2963.57</v>
      </c>
      <c r="I594" s="18"/>
      <c r="J594" s="18"/>
      <c r="K594" s="104">
        <f t="shared" si="48"/>
        <v>2963.57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28712.23</v>
      </c>
      <c r="I597" s="108">
        <f>SUM(I590:I596)</f>
        <v>32968.68</v>
      </c>
      <c r="J597" s="108">
        <f>SUM(J590:J596)</f>
        <v>31138.309999999998</v>
      </c>
      <c r="K597" s="108">
        <f>SUM(K590:K596)</f>
        <v>92819.220000000016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74.99+5547.95+3271.92+1127.37+11872.58+25496.25+468.39</f>
        <v>47859.45</v>
      </c>
      <c r="I603" s="18"/>
      <c r="J603" s="18"/>
      <c r="K603" s="104">
        <f>SUM(H603:J603)</f>
        <v>47859.45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47859.45</v>
      </c>
      <c r="I604" s="108">
        <f>SUM(I601:I603)</f>
        <v>0</v>
      </c>
      <c r="J604" s="108">
        <f>SUM(J601:J603)</f>
        <v>0</v>
      </c>
      <c r="K604" s="108">
        <f>SUM(K601:K603)</f>
        <v>47859.45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3243.75</v>
      </c>
      <c r="G610" s="18">
        <v>428.94</v>
      </c>
      <c r="H610" s="18"/>
      <c r="I610" s="18">
        <v>260.52999999999997</v>
      </c>
      <c r="J610" s="18"/>
      <c r="K610" s="18"/>
      <c r="L610" s="88">
        <f>SUM(F610:K610)</f>
        <v>3933.2200000000003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>
        <v>1188.8</v>
      </c>
      <c r="I611" s="18"/>
      <c r="J611" s="18"/>
      <c r="K611" s="18"/>
      <c r="L611" s="88">
        <f>SUM(F611:K611)</f>
        <v>1188.8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>
        <v>1878.83</v>
      </c>
      <c r="I612" s="18"/>
      <c r="J612" s="18"/>
      <c r="K612" s="18"/>
      <c r="L612" s="88">
        <f>SUM(F612:K612)</f>
        <v>1878.83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3243.75</v>
      </c>
      <c r="G613" s="108">
        <f t="shared" si="49"/>
        <v>428.94</v>
      </c>
      <c r="H613" s="108">
        <f t="shared" si="49"/>
        <v>3067.63</v>
      </c>
      <c r="I613" s="108">
        <f t="shared" si="49"/>
        <v>260.52999999999997</v>
      </c>
      <c r="J613" s="108">
        <f t="shared" si="49"/>
        <v>0</v>
      </c>
      <c r="K613" s="108">
        <f t="shared" si="49"/>
        <v>0</v>
      </c>
      <c r="L613" s="89">
        <f t="shared" si="49"/>
        <v>7000.85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264617.37</v>
      </c>
      <c r="H616" s="109">
        <f>SUM(F51)</f>
        <v>264617.37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3376.91</v>
      </c>
      <c r="H617" s="109">
        <f>SUM(G51)</f>
        <v>3376.91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14363.61</v>
      </c>
      <c r="H618" s="109">
        <f>SUM(H51)</f>
        <v>14363.61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43701.93</v>
      </c>
      <c r="H620" s="109">
        <f>SUM(J51)</f>
        <v>43701.93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240684.53999999998</v>
      </c>
      <c r="H621" s="109">
        <f>F475</f>
        <v>240684.54000000004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43701.93</v>
      </c>
      <c r="H625" s="109">
        <f>J475</f>
        <v>43701.93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2141595.06</v>
      </c>
      <c r="H626" s="104">
        <f>SUM(F467)</f>
        <v>2141595.06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54288.05</v>
      </c>
      <c r="H627" s="104">
        <f>SUM(G467)</f>
        <v>54288.049999999996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75799.34</v>
      </c>
      <c r="H628" s="104">
        <f>SUM(H467)</f>
        <v>75799.34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59.83</v>
      </c>
      <c r="H630" s="104">
        <f>SUM(J467)</f>
        <v>59.83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1900910.5200000003</v>
      </c>
      <c r="H631" s="104">
        <f>SUM(F471)</f>
        <v>1900910.52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75799.34</v>
      </c>
      <c r="H632" s="104">
        <f>SUM(H471)</f>
        <v>75799.34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16283.04</v>
      </c>
      <c r="H633" s="104">
        <f>I368</f>
        <v>16283.04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54288.05</v>
      </c>
      <c r="H634" s="104">
        <f>SUM(G471)</f>
        <v>54288.049999999996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59.83</v>
      </c>
      <c r="H636" s="164">
        <f>SUM(J467)</f>
        <v>59.83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6232.26</v>
      </c>
      <c r="H637" s="164">
        <f>SUM(J471)</f>
        <v>6232.26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43701.93</v>
      </c>
      <c r="H639" s="104">
        <f>SUM(G460)</f>
        <v>43701.93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43701.93</v>
      </c>
      <c r="H641" s="104">
        <f>SUM(I460)</f>
        <v>43701.93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59.83</v>
      </c>
      <c r="H643" s="104">
        <f>H407</f>
        <v>59.83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59.83</v>
      </c>
      <c r="H645" s="104">
        <f>L407</f>
        <v>59.83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92819.220000000016</v>
      </c>
      <c r="H646" s="104">
        <f>L207+L225+L243</f>
        <v>92819.22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47859.45</v>
      </c>
      <c r="H647" s="104">
        <f>(J256+J337)-(J254+J335)</f>
        <v>47859.450000000004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28712.23</v>
      </c>
      <c r="H648" s="104">
        <f>H597</f>
        <v>28712.23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32968.68</v>
      </c>
      <c r="H649" s="104">
        <f>I597</f>
        <v>32968.68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31138.31</v>
      </c>
      <c r="H650" s="104">
        <f>J597</f>
        <v>31138.309999999998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23460.99</v>
      </c>
      <c r="H651" s="104">
        <f>K262+K344</f>
        <v>23460.99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1026647.06</v>
      </c>
      <c r="G659" s="19">
        <f>(L228+L308+L358)</f>
        <v>289702.68</v>
      </c>
      <c r="H659" s="19">
        <f>(L246+L327+L359)</f>
        <v>665390.56000000006</v>
      </c>
      <c r="I659" s="19">
        <f>SUM(F659:H659)</f>
        <v>1981740.3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14155.76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14155.76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28712.23</v>
      </c>
      <c r="G661" s="19">
        <f>(L225+L305)-(J225+J305)</f>
        <v>32968.68</v>
      </c>
      <c r="H661" s="19">
        <f>(L243+L324)-(J243+J324)</f>
        <v>31138.31</v>
      </c>
      <c r="I661" s="19">
        <f>SUM(F661:H661)</f>
        <v>92819.22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52410.31</v>
      </c>
      <c r="G662" s="199">
        <f>SUM(G574:G586)+SUM(I601:I603)+L611</f>
        <v>234697.9</v>
      </c>
      <c r="H662" s="199">
        <f>SUM(H574:H586)+SUM(J601:J603)+L612</f>
        <v>588995.24999999988</v>
      </c>
      <c r="I662" s="19">
        <f>SUM(F662:H662)</f>
        <v>876103.45999999985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931368.76</v>
      </c>
      <c r="G663" s="19">
        <f>G659-SUM(G660:G662)</f>
        <v>22036.099999999977</v>
      </c>
      <c r="H663" s="19">
        <f>H659-SUM(H660:H662)</f>
        <v>45257.000000000116</v>
      </c>
      <c r="I663" s="19">
        <f>I659-SUM(I660:I662)</f>
        <v>998661.86000000022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61.98</v>
      </c>
      <c r="G664" s="248"/>
      <c r="H664" s="248"/>
      <c r="I664" s="19">
        <f>SUM(F664:H664)</f>
        <v>61.98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15026.92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16112.65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-22036.1</v>
      </c>
      <c r="H668" s="18">
        <v>-45257</v>
      </c>
      <c r="I668" s="19">
        <f>SUM(F668:H668)</f>
        <v>-67293.100000000006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15026.92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15026.92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9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BATH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284701.19</v>
      </c>
      <c r="C9" s="229">
        <f>'DOE25'!G196+'DOE25'!G214+'DOE25'!G232+'DOE25'!G275+'DOE25'!G294+'DOE25'!G313</f>
        <v>95598.11</v>
      </c>
    </row>
    <row r="10" spans="1:3" x14ac:dyDescent="0.2">
      <c r="A10" t="s">
        <v>779</v>
      </c>
      <c r="B10" s="240">
        <v>282396.44</v>
      </c>
      <c r="C10" s="240">
        <f>95598.11-176.31</f>
        <v>95421.8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2304.75</v>
      </c>
      <c r="C12" s="240">
        <f>ROUND(B12*7.65%,2)</f>
        <v>176.31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284701.19</v>
      </c>
      <c r="C13" s="231">
        <f>SUM(C10:C12)</f>
        <v>95598.11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52530</v>
      </c>
      <c r="C18" s="229">
        <f>'DOE25'!G197+'DOE25'!G215+'DOE25'!G233+'DOE25'!G276+'DOE25'!G295+'DOE25'!G314</f>
        <v>17219.54</v>
      </c>
    </row>
    <row r="19" spans="1:3" x14ac:dyDescent="0.2">
      <c r="A19" t="s">
        <v>779</v>
      </c>
      <c r="B19" s="240">
        <v>44046.75</v>
      </c>
      <c r="C19" s="240">
        <f>17219.54-675.98-121.72</f>
        <v>16421.84</v>
      </c>
    </row>
    <row r="20" spans="1:3" x14ac:dyDescent="0.2">
      <c r="A20" t="s">
        <v>780</v>
      </c>
      <c r="B20" s="240">
        <v>6892.1</v>
      </c>
      <c r="C20" s="240">
        <v>675.98</v>
      </c>
    </row>
    <row r="21" spans="1:3" x14ac:dyDescent="0.2">
      <c r="A21" t="s">
        <v>781</v>
      </c>
      <c r="B21" s="240">
        <f>1141.15+450</f>
        <v>1591.15</v>
      </c>
      <c r="C21" s="240">
        <f>ROUND(B21*7.65%,2)</f>
        <v>121.72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52530</v>
      </c>
      <c r="C22" s="231">
        <f>SUM(C19:C21)</f>
        <v>17219.54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3868.75</v>
      </c>
      <c r="C36" s="235">
        <f>'DOE25'!G199+'DOE25'!G217+'DOE25'!G235+'DOE25'!G278+'DOE25'!G297+'DOE25'!G316</f>
        <v>476.75</v>
      </c>
    </row>
    <row r="37" spans="1:3" x14ac:dyDescent="0.2">
      <c r="A37" t="s">
        <v>779</v>
      </c>
      <c r="B37" s="240">
        <v>3243.75</v>
      </c>
      <c r="C37" s="240">
        <f>476.75-C39</f>
        <v>428.94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625</v>
      </c>
      <c r="C39" s="240">
        <f>ROUND(B39*7.65%,2)</f>
        <v>47.81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3868.75</v>
      </c>
      <c r="C40" s="231">
        <f>SUM(C37:C39)</f>
        <v>476.75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BATH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1336442.8500000001</v>
      </c>
      <c r="D5" s="20">
        <f>SUM('DOE25'!L196:L199)+SUM('DOE25'!L214:L217)+SUM('DOE25'!L232:L235)-F5-G5</f>
        <v>1335419.76</v>
      </c>
      <c r="E5" s="243"/>
      <c r="F5" s="255">
        <f>SUM('DOE25'!J196:J199)+SUM('DOE25'!J214:J217)+SUM('DOE25'!J232:J235)</f>
        <v>74.989999999999995</v>
      </c>
      <c r="G5" s="53">
        <f>SUM('DOE25'!K196:K199)+SUM('DOE25'!K214:K217)+SUM('DOE25'!K232:K235)</f>
        <v>948.1</v>
      </c>
      <c r="H5" s="259"/>
    </row>
    <row r="6" spans="1:9" x14ac:dyDescent="0.2">
      <c r="A6" s="32">
        <v>2100</v>
      </c>
      <c r="B6" t="s">
        <v>801</v>
      </c>
      <c r="C6" s="245">
        <f t="shared" si="0"/>
        <v>52054.820000000007</v>
      </c>
      <c r="D6" s="20">
        <f>'DOE25'!L201+'DOE25'!L219+'DOE25'!L237-F6-G6</f>
        <v>51864.820000000007</v>
      </c>
      <c r="E6" s="243"/>
      <c r="F6" s="255">
        <f>'DOE25'!J201+'DOE25'!J219+'DOE25'!J237</f>
        <v>0</v>
      </c>
      <c r="G6" s="53">
        <f>'DOE25'!K201+'DOE25'!K219+'DOE25'!K237</f>
        <v>190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20724.61</v>
      </c>
      <c r="D7" s="20">
        <f>'DOE25'!L202+'DOE25'!L220+'DOE25'!L238-F7-G7</f>
        <v>20724.61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77604</v>
      </c>
      <c r="D8" s="243"/>
      <c r="E8" s="20">
        <f>'DOE25'!L203+'DOE25'!L221+'DOE25'!L239-F8-G8-D9-D11</f>
        <v>75379.87</v>
      </c>
      <c r="F8" s="255">
        <f>'DOE25'!J203+'DOE25'!J221+'DOE25'!J239</f>
        <v>0</v>
      </c>
      <c r="G8" s="53">
        <f>'DOE25'!K203+'DOE25'!K221+'DOE25'!K239</f>
        <v>2224.13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14613.25</v>
      </c>
      <c r="D9" s="244">
        <f>6118.2+376.8+1019.84+245.9+6750.01+102.5</f>
        <v>14613.25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6750.01</v>
      </c>
      <c r="D10" s="243"/>
      <c r="E10" s="244">
        <v>6750.01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23855</v>
      </c>
      <c r="D11" s="244">
        <v>23855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118643.85</v>
      </c>
      <c r="D12" s="20">
        <f>'DOE25'!L204+'DOE25'!L222+'DOE25'!L240-F12-G12</f>
        <v>116682.54000000001</v>
      </c>
      <c r="E12" s="243"/>
      <c r="F12" s="255">
        <f>'DOE25'!J204+'DOE25'!J222+'DOE25'!J240</f>
        <v>1127.3699999999999</v>
      </c>
      <c r="G12" s="53">
        <f>'DOE25'!K204+'DOE25'!K222+'DOE25'!K240</f>
        <v>833.94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114334.79</v>
      </c>
      <c r="D14" s="20">
        <f>'DOE25'!L206+'DOE25'!L224+'DOE25'!L242-F14-G14</f>
        <v>102462.20999999999</v>
      </c>
      <c r="E14" s="243"/>
      <c r="F14" s="255">
        <f>'DOE25'!J206+'DOE25'!J224+'DOE25'!J242</f>
        <v>11872.58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92819.22</v>
      </c>
      <c r="D15" s="20">
        <f>'DOE25'!L207+'DOE25'!L225+'DOE25'!L243-F15-G15</f>
        <v>92819.22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560.52</v>
      </c>
      <c r="D16" s="243"/>
      <c r="E16" s="20">
        <f>'DOE25'!L208+'DOE25'!L226+'DOE25'!L244-F16-G16</f>
        <v>560.52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25796.62</v>
      </c>
      <c r="D25" s="243"/>
      <c r="E25" s="243"/>
      <c r="F25" s="258"/>
      <c r="G25" s="256"/>
      <c r="H25" s="257">
        <f>'DOE25'!L259+'DOE25'!L260+'DOE25'!L340+'DOE25'!L341</f>
        <v>25796.62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39237.79</v>
      </c>
      <c r="D29" s="20">
        <f>'DOE25'!L357+'DOE25'!L358+'DOE25'!L359-'DOE25'!I366-F29-G29</f>
        <v>39237.79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75799.34</v>
      </c>
      <c r="D31" s="20">
        <f>'DOE25'!L289+'DOE25'!L308+'DOE25'!L327+'DOE25'!L332+'DOE25'!L333+'DOE25'!L334-F31-G31</f>
        <v>40383.579999999994</v>
      </c>
      <c r="E31" s="243"/>
      <c r="F31" s="255">
        <f>'DOE25'!J289+'DOE25'!J308+'DOE25'!J327+'DOE25'!J332+'DOE25'!J333+'DOE25'!J334</f>
        <v>34784.51</v>
      </c>
      <c r="G31" s="53">
        <f>'DOE25'!K289+'DOE25'!K308+'DOE25'!K327+'DOE25'!K332+'DOE25'!K333+'DOE25'!K334</f>
        <v>631.25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1838062.7800000003</v>
      </c>
      <c r="E33" s="246">
        <f>SUM(E5:E31)</f>
        <v>82690.399999999994</v>
      </c>
      <c r="F33" s="246">
        <f>SUM(F5:F31)</f>
        <v>47859.450000000004</v>
      </c>
      <c r="G33" s="246">
        <f>SUM(G5:G31)</f>
        <v>4827.42</v>
      </c>
      <c r="H33" s="246">
        <f>SUM(H5:H31)</f>
        <v>25796.62</v>
      </c>
    </row>
    <row r="35" spans="2:8" ht="12" thickBot="1" x14ac:dyDescent="0.25">
      <c r="B35" s="253" t="s">
        <v>847</v>
      </c>
      <c r="D35" s="254">
        <f>E33</f>
        <v>82690.399999999994</v>
      </c>
      <c r="E35" s="249"/>
    </row>
    <row r="36" spans="2:8" ht="12" thickTop="1" x14ac:dyDescent="0.2">
      <c r="B36" t="s">
        <v>815</v>
      </c>
      <c r="D36" s="20">
        <f>D33</f>
        <v>1838062.7800000003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132" activePane="bottomLeft" state="frozen"/>
      <selection pane="bottomLeft" activeCell="C138" sqref="C13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250732.63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43701.93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6614.72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4884</v>
      </c>
      <c r="D12" s="95">
        <f>'DOE25'!G13</f>
        <v>3376.91</v>
      </c>
      <c r="E12" s="95">
        <f>'DOE25'!H13</f>
        <v>14363.61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2386.02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264617.37</v>
      </c>
      <c r="D18" s="41">
        <f>SUM(D8:D17)</f>
        <v>3376.91</v>
      </c>
      <c r="E18" s="41">
        <f>SUM(E8:E17)</f>
        <v>14363.61</v>
      </c>
      <c r="F18" s="41">
        <f>SUM(F8:F17)</f>
        <v>0</v>
      </c>
      <c r="G18" s="41">
        <f>SUM(G8:G17)</f>
        <v>43701.93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2472.7199999999998</v>
      </c>
      <c r="E21" s="95">
        <f>'DOE25'!H22</f>
        <v>4141.95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22713.31</v>
      </c>
      <c r="D23" s="95">
        <f>'DOE25'!G24</f>
        <v>770.31</v>
      </c>
      <c r="E23" s="95">
        <f>'DOE25'!H24</f>
        <v>9137.9599999999991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1028</v>
      </c>
      <c r="D27" s="95">
        <f>'DOE25'!G28</f>
        <v>113.05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191.52</v>
      </c>
      <c r="D28" s="95">
        <f>'DOE25'!G29</f>
        <v>20.83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1083.7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23932.83</v>
      </c>
      <c r="D31" s="41">
        <f>SUM(D21:D30)</f>
        <v>3376.91</v>
      </c>
      <c r="E31" s="41">
        <f>SUM(E21:E30)</f>
        <v>14363.61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50000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43701.93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8068.9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182615.63999999998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240684.53999999998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43701.93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264617.37</v>
      </c>
      <c r="D50" s="41">
        <f>D49+D31</f>
        <v>3376.91</v>
      </c>
      <c r="E50" s="41">
        <f>E49+E31</f>
        <v>14363.61</v>
      </c>
      <c r="F50" s="41">
        <f>F49+F31</f>
        <v>0</v>
      </c>
      <c r="G50" s="41">
        <f>G49+G31</f>
        <v>43701.93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1344949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84.11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59.83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13347.35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2415.9899999999998</v>
      </c>
      <c r="D60" s="95">
        <f>SUM('DOE25'!G97:G109)</f>
        <v>808.41</v>
      </c>
      <c r="E60" s="95">
        <f>SUM('DOE25'!H97:H109)</f>
        <v>25725.7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2500.1</v>
      </c>
      <c r="D61" s="130">
        <f>SUM(D56:D60)</f>
        <v>14155.76</v>
      </c>
      <c r="E61" s="130">
        <f>SUM(E56:E60)</f>
        <v>25725.7</v>
      </c>
      <c r="F61" s="130">
        <f>SUM(F56:F60)</f>
        <v>0</v>
      </c>
      <c r="G61" s="130">
        <f>SUM(G56:G60)</f>
        <v>59.83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1347449.1</v>
      </c>
      <c r="D62" s="22">
        <f>D55+D61</f>
        <v>14155.76</v>
      </c>
      <c r="E62" s="22">
        <f>E55+E61</f>
        <v>25725.7</v>
      </c>
      <c r="F62" s="22">
        <f>F55+F61</f>
        <v>0</v>
      </c>
      <c r="G62" s="22">
        <f>G55+G61</f>
        <v>59.83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451073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284060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735133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26377.53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9649.619999999999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395.07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36027.149999999994</v>
      </c>
      <c r="D77" s="130">
        <f>SUM(D71:D76)</f>
        <v>395.07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771160.15</v>
      </c>
      <c r="D80" s="130">
        <f>SUM(D78:D79)+D77+D69</f>
        <v>395.07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713.7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22801.55</v>
      </c>
      <c r="D87" s="95">
        <f>SUM('DOE25'!G152:G160)</f>
        <v>16276.23</v>
      </c>
      <c r="E87" s="95">
        <f>SUM('DOE25'!H152:H160)</f>
        <v>49359.94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184.26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22985.809999999998</v>
      </c>
      <c r="D90" s="131">
        <f>SUM(D84:D89)</f>
        <v>16276.23</v>
      </c>
      <c r="E90" s="131">
        <f>SUM(E84:E89)</f>
        <v>50073.64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23460.99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23460.99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2141595.06</v>
      </c>
      <c r="D103" s="86">
        <f>D62+D80+D90+D102</f>
        <v>54288.05</v>
      </c>
      <c r="E103" s="86">
        <f>E62+E80+E90+E102</f>
        <v>75799.34</v>
      </c>
      <c r="F103" s="86">
        <f>F62+F80+F90+F102</f>
        <v>0</v>
      </c>
      <c r="G103" s="86">
        <f>G62+G80+G102</f>
        <v>59.83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1141148.53</v>
      </c>
      <c r="D108" s="24" t="s">
        <v>289</v>
      </c>
      <c r="E108" s="95">
        <f>('DOE25'!L275)+('DOE25'!L294)+('DOE25'!L313)</f>
        <v>3455.95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151619.56</v>
      </c>
      <c r="D109" s="24" t="s">
        <v>289</v>
      </c>
      <c r="E109" s="95">
        <f>('DOE25'!L276)+('DOE25'!L295)+('DOE25'!L314)</f>
        <v>35780.520000000004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35239.360000000001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8435.4</v>
      </c>
      <c r="D111" s="24" t="s">
        <v>289</v>
      </c>
      <c r="E111" s="95">
        <f>+('DOE25'!L278)+('DOE25'!L297)+('DOE25'!L316)</f>
        <v>289.90999999999997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1336442.8500000001</v>
      </c>
      <c r="D114" s="86">
        <f>SUM(D108:D113)</f>
        <v>0</v>
      </c>
      <c r="E114" s="86">
        <f>SUM(E108:E113)</f>
        <v>39526.380000000005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52054.820000000007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20724.61</v>
      </c>
      <c r="D118" s="24" t="s">
        <v>289</v>
      </c>
      <c r="E118" s="95">
        <f>+('DOE25'!L281)+('DOE25'!L300)+('DOE25'!L319)</f>
        <v>10071.959999999999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116072.25</v>
      </c>
      <c r="D119" s="24" t="s">
        <v>289</v>
      </c>
      <c r="E119" s="95">
        <f>+('DOE25'!L282)+('DOE25'!L301)+('DOE25'!L320)</f>
        <v>631.25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118643.85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114334.79</v>
      </c>
      <c r="D122" s="24" t="s">
        <v>289</v>
      </c>
      <c r="E122" s="95">
        <f>+('DOE25'!L285)+('DOE25'!L304)+('DOE25'!L323)</f>
        <v>25569.75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92819.22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560.52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54288.05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515210.06000000006</v>
      </c>
      <c r="D127" s="86">
        <f>SUM(D117:D126)</f>
        <v>54288.05</v>
      </c>
      <c r="E127" s="86">
        <f>SUM(E117:E126)</f>
        <v>36272.959999999999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23848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1948.62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6232.26</v>
      </c>
    </row>
    <row r="134" spans="1:7" x14ac:dyDescent="0.2">
      <c r="A134" t="s">
        <v>233</v>
      </c>
      <c r="B134" s="32" t="s">
        <v>234</v>
      </c>
      <c r="C134" s="95">
        <f>'DOE25'!L262</f>
        <v>23460.99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59.83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-59.83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49257.61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6232.26</v>
      </c>
    </row>
    <row r="144" spans="1:7" ht="12.75" thickTop="1" thickBot="1" x14ac:dyDescent="0.25">
      <c r="A144" s="33" t="s">
        <v>244</v>
      </c>
      <c r="C144" s="86">
        <f>(C114+C127+C143)</f>
        <v>1900910.5200000003</v>
      </c>
      <c r="D144" s="86">
        <f>(D114+D127+D143)</f>
        <v>54288.05</v>
      </c>
      <c r="E144" s="86">
        <f>(E114+E127+E143)</f>
        <v>75799.34</v>
      </c>
      <c r="F144" s="86">
        <f>(F114+F127+F143)</f>
        <v>0</v>
      </c>
      <c r="G144" s="86">
        <f>(G114+G127+G143)</f>
        <v>6232.26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4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10/2008</v>
      </c>
      <c r="C151" s="152" t="str">
        <f>'DOE25'!G490</f>
        <v>9/2009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10/2013</v>
      </c>
      <c r="C152" s="152" t="str">
        <f>'DOE25'!G491</f>
        <v>11/2013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32000</v>
      </c>
      <c r="C153" s="137">
        <f>'DOE25'!G492</f>
        <v>69830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13555.49</v>
      </c>
      <c r="C155" s="137">
        <f>'DOE25'!G494</f>
        <v>34915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48470.49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6644.3</v>
      </c>
      <c r="C157" s="137">
        <f>'DOE25'!G496</f>
        <v>17457.5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24101.8</v>
      </c>
    </row>
    <row r="158" spans="1:9" x14ac:dyDescent="0.2">
      <c r="A158" s="22" t="s">
        <v>35</v>
      </c>
      <c r="B158" s="137">
        <f>'DOE25'!F497</f>
        <v>6911.19</v>
      </c>
      <c r="C158" s="137">
        <f>'DOE25'!G497</f>
        <v>17457.5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24368.69</v>
      </c>
    </row>
    <row r="159" spans="1:9" x14ac:dyDescent="0.2">
      <c r="A159" s="22" t="s">
        <v>36</v>
      </c>
      <c r="B159" s="137">
        <f>'DOE25'!F498</f>
        <v>276.08</v>
      </c>
      <c r="C159" s="137">
        <f>'DOE25'!G498</f>
        <v>567.37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843.45</v>
      </c>
    </row>
    <row r="160" spans="1:9" x14ac:dyDescent="0.2">
      <c r="A160" s="22" t="s">
        <v>37</v>
      </c>
      <c r="B160" s="137">
        <f>'DOE25'!F499</f>
        <v>7187.2699999999995</v>
      </c>
      <c r="C160" s="137">
        <f>'DOE25'!G499</f>
        <v>18024.87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25212.14</v>
      </c>
    </row>
    <row r="161" spans="1:7" x14ac:dyDescent="0.2">
      <c r="A161" s="22" t="s">
        <v>38</v>
      </c>
      <c r="B161" s="137">
        <f>'DOE25'!F500</f>
        <v>6911.19</v>
      </c>
      <c r="C161" s="137">
        <f>'DOE25'!G500</f>
        <v>17457.5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24368.69</v>
      </c>
    </row>
    <row r="162" spans="1:7" x14ac:dyDescent="0.2">
      <c r="A162" s="22" t="s">
        <v>39</v>
      </c>
      <c r="B162" s="137">
        <f>'DOE25'!F501</f>
        <v>276.08</v>
      </c>
      <c r="C162" s="137">
        <f>'DOE25'!G501</f>
        <v>567.37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843.45</v>
      </c>
    </row>
    <row r="163" spans="1:7" x14ac:dyDescent="0.2">
      <c r="A163" s="22" t="s">
        <v>246</v>
      </c>
      <c r="B163" s="137">
        <f>'DOE25'!F502</f>
        <v>7187.2699999999995</v>
      </c>
      <c r="C163" s="137">
        <f>'DOE25'!G502</f>
        <v>18024.87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25212.14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BATH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15027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15027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1144604</v>
      </c>
      <c r="D10" s="182">
        <f>ROUND((C10/$C$28)*100,1)</f>
        <v>58.1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187400</v>
      </c>
      <c r="D11" s="182">
        <f>ROUND((C11/$C$28)*100,1)</f>
        <v>9.5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35239</v>
      </c>
      <c r="D12" s="182">
        <f>ROUND((C12/$C$28)*100,1)</f>
        <v>1.8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8725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52055</v>
      </c>
      <c r="D15" s="182">
        <f t="shared" ref="D15:D27" si="0">ROUND((C15/$C$28)*100,1)</f>
        <v>2.6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30797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117264</v>
      </c>
      <c r="D17" s="182">
        <f t="shared" si="0"/>
        <v>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118644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139905</v>
      </c>
      <c r="D20" s="182">
        <f t="shared" si="0"/>
        <v>7.1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92819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1949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40132.239999999998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1969533.24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1969533.24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23848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1344949</v>
      </c>
      <c r="D35" s="182">
        <f t="shared" ref="D35:D40" si="1">ROUND((C35/$C$41)*100,1)</f>
        <v>60.2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28285.630000000121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735133</v>
      </c>
      <c r="D37" s="182">
        <f t="shared" si="1"/>
        <v>32.9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36422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89336</v>
      </c>
      <c r="D39" s="182">
        <f t="shared" si="1"/>
        <v>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2234125.63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BATH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2013-09-12T18:16:41Z</cp:lastPrinted>
  <dcterms:created xsi:type="dcterms:W3CDTF">1997-12-04T19:04:30Z</dcterms:created>
  <dcterms:modified xsi:type="dcterms:W3CDTF">2013-10-01T18:29:05Z</dcterms:modified>
</cp:coreProperties>
</file>