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471" i="1" l="1"/>
  <c r="H467" i="1" l="1"/>
  <c r="J467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E49" i="2" s="1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49" i="2" s="1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C20" i="10" s="1"/>
  <c r="L242" i="1"/>
  <c r="F15" i="13"/>
  <c r="G15" i="13"/>
  <c r="L207" i="1"/>
  <c r="G648" i="1" s="1"/>
  <c r="L225" i="1"/>
  <c r="L243" i="1"/>
  <c r="G650" i="1" s="1"/>
  <c r="F17" i="13"/>
  <c r="G17" i="13"/>
  <c r="L250" i="1"/>
  <c r="D17" i="13" s="1"/>
  <c r="C17" i="13" s="1"/>
  <c r="F18" i="13"/>
  <c r="G18" i="13"/>
  <c r="L251" i="1"/>
  <c r="C113" i="2" s="1"/>
  <c r="F19" i="13"/>
  <c r="G19" i="13"/>
  <c r="L252" i="1"/>
  <c r="D19" i="13" s="1"/>
  <c r="C19" i="13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C32" i="10" s="1"/>
  <c r="L260" i="1"/>
  <c r="L340" i="1"/>
  <c r="E130" i="2" s="1"/>
  <c r="L341" i="1"/>
  <c r="E131" i="2" s="1"/>
  <c r="L254" i="1"/>
  <c r="L335" i="1"/>
  <c r="E129" i="2" s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9" i="1" s="1"/>
  <c r="J135" i="1"/>
  <c r="F146" i="1"/>
  <c r="F161" i="1"/>
  <c r="F168" i="1" s="1"/>
  <c r="G146" i="1"/>
  <c r="D84" i="2" s="1"/>
  <c r="G161" i="1"/>
  <c r="H146" i="1"/>
  <c r="H161" i="1"/>
  <c r="I146" i="1"/>
  <c r="I161" i="1"/>
  <c r="L249" i="1"/>
  <c r="C112" i="2" s="1"/>
  <c r="L331" i="1"/>
  <c r="E112" i="2" s="1"/>
  <c r="L253" i="1"/>
  <c r="L267" i="1"/>
  <c r="L268" i="1"/>
  <c r="L348" i="1"/>
  <c r="L349" i="1"/>
  <c r="E142" i="2" s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K269" i="1"/>
  <c r="L269" i="1" s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E61" i="2" s="1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G80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0" i="2" s="1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D114" i="2"/>
  <c r="F114" i="2"/>
  <c r="G114" i="2"/>
  <c r="F127" i="2"/>
  <c r="G127" i="2"/>
  <c r="C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G158" i="2" s="1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L255" i="1" s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F407" i="1"/>
  <c r="H642" i="1" s="1"/>
  <c r="J642" i="1" s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G640" i="1" s="1"/>
  <c r="F451" i="1"/>
  <c r="G451" i="1"/>
  <c r="H451" i="1"/>
  <c r="F459" i="1"/>
  <c r="G459" i="1"/>
  <c r="G460" i="1" s="1"/>
  <c r="H639" i="1" s="1"/>
  <c r="H459" i="1"/>
  <c r="H460" i="1" s="1"/>
  <c r="H640" i="1" s="1"/>
  <c r="H469" i="1"/>
  <c r="H475" i="1" s="1"/>
  <c r="H623" i="1" s="1"/>
  <c r="J469" i="1"/>
  <c r="H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9" i="1" s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H628" i="1"/>
  <c r="H630" i="1"/>
  <c r="H632" i="1"/>
  <c r="H636" i="1"/>
  <c r="H637" i="1"/>
  <c r="G638" i="1"/>
  <c r="G642" i="1"/>
  <c r="G643" i="1"/>
  <c r="G644" i="1"/>
  <c r="G649" i="1"/>
  <c r="G651" i="1"/>
  <c r="H651" i="1"/>
  <c r="G652" i="1"/>
  <c r="H652" i="1"/>
  <c r="G653" i="1"/>
  <c r="H653" i="1"/>
  <c r="H654" i="1"/>
  <c r="F61" i="2"/>
  <c r="F62" i="2" s="1"/>
  <c r="G102" i="2"/>
  <c r="F90" i="2"/>
  <c r="G61" i="2"/>
  <c r="L432" i="1"/>
  <c r="I168" i="1"/>
  <c r="H168" i="1"/>
  <c r="J475" i="1"/>
  <c r="H625" i="1" s="1"/>
  <c r="G22" i="2"/>
  <c r="G191" i="1"/>
  <c r="C49" i="2"/>
  <c r="J654" i="1"/>
  <c r="G36" i="2"/>
  <c r="A40" i="12" l="1"/>
  <c r="A13" i="12"/>
  <c r="L569" i="1"/>
  <c r="I570" i="1"/>
  <c r="K570" i="1"/>
  <c r="J570" i="1"/>
  <c r="H570" i="1"/>
  <c r="L564" i="1"/>
  <c r="L570" i="1" s="1"/>
  <c r="F570" i="1"/>
  <c r="G661" i="1"/>
  <c r="J650" i="1"/>
  <c r="J648" i="1"/>
  <c r="K597" i="1"/>
  <c r="G646" i="1" s="1"/>
  <c r="L613" i="1"/>
  <c r="K604" i="1"/>
  <c r="G647" i="1" s="1"/>
  <c r="I544" i="1"/>
  <c r="K549" i="1"/>
  <c r="K544" i="1"/>
  <c r="J544" i="1"/>
  <c r="L523" i="1"/>
  <c r="H544" i="1"/>
  <c r="J551" i="1"/>
  <c r="K550" i="1"/>
  <c r="L543" i="1"/>
  <c r="I551" i="1"/>
  <c r="L538" i="1"/>
  <c r="H551" i="1"/>
  <c r="G544" i="1"/>
  <c r="L533" i="1"/>
  <c r="G551" i="1"/>
  <c r="K548" i="1"/>
  <c r="L528" i="1"/>
  <c r="F551" i="1"/>
  <c r="G623" i="1"/>
  <c r="J623" i="1" s="1"/>
  <c r="E31" i="2"/>
  <c r="E50" i="2" s="1"/>
  <c r="E18" i="2"/>
  <c r="D31" i="2"/>
  <c r="F460" i="1"/>
  <c r="H638" i="1" s="1"/>
  <c r="J638" i="1" s="1"/>
  <c r="F22" i="13"/>
  <c r="C22" i="13" s="1"/>
  <c r="L336" i="1"/>
  <c r="L327" i="1"/>
  <c r="E118" i="2"/>
  <c r="K337" i="1"/>
  <c r="K351" i="1" s="1"/>
  <c r="H337" i="1"/>
  <c r="H351" i="1" s="1"/>
  <c r="C13" i="10"/>
  <c r="G337" i="1"/>
  <c r="G351" i="1" s="1"/>
  <c r="E124" i="2"/>
  <c r="E123" i="2"/>
  <c r="E121" i="2"/>
  <c r="E122" i="2"/>
  <c r="E120" i="2"/>
  <c r="E119" i="2"/>
  <c r="E117" i="2"/>
  <c r="L308" i="1"/>
  <c r="E110" i="2"/>
  <c r="C11" i="10"/>
  <c r="F337" i="1"/>
  <c r="F351" i="1" s="1"/>
  <c r="E108" i="2"/>
  <c r="J337" i="1"/>
  <c r="J351" i="1" s="1"/>
  <c r="E109" i="2"/>
  <c r="C12" i="10"/>
  <c r="L289" i="1"/>
  <c r="E111" i="2"/>
  <c r="H111" i="1"/>
  <c r="F77" i="2"/>
  <c r="F80" i="2" s="1"/>
  <c r="E102" i="2"/>
  <c r="F102" i="2"/>
  <c r="E77" i="2"/>
  <c r="E80" i="2" s="1"/>
  <c r="I459" i="1"/>
  <c r="J640" i="1"/>
  <c r="J639" i="1"/>
  <c r="I451" i="1"/>
  <c r="I445" i="1"/>
  <c r="G641" i="1" s="1"/>
  <c r="L426" i="1"/>
  <c r="G163" i="2"/>
  <c r="K502" i="1"/>
  <c r="G162" i="2"/>
  <c r="G161" i="2"/>
  <c r="G159" i="2"/>
  <c r="G160" i="2"/>
  <c r="K499" i="1"/>
  <c r="G157" i="2"/>
  <c r="G156" i="2"/>
  <c r="G155" i="2"/>
  <c r="L418" i="1"/>
  <c r="I407" i="1"/>
  <c r="H407" i="1"/>
  <c r="H643" i="1" s="1"/>
  <c r="J643" i="1" s="1"/>
  <c r="L400" i="1"/>
  <c r="C138" i="2" s="1"/>
  <c r="J644" i="1"/>
  <c r="L392" i="1"/>
  <c r="C137" i="2" s="1"/>
  <c r="F129" i="2"/>
  <c r="F143" i="2" s="1"/>
  <c r="F144" i="2" s="1"/>
  <c r="C29" i="10"/>
  <c r="L381" i="1"/>
  <c r="I471" i="1" s="1"/>
  <c r="I368" i="1"/>
  <c r="H633" i="1" s="1"/>
  <c r="J633" i="1" s="1"/>
  <c r="D29" i="13"/>
  <c r="C29" i="13" s="1"/>
  <c r="G660" i="1"/>
  <c r="L361" i="1"/>
  <c r="G471" i="1" s="1"/>
  <c r="G473" i="1" s="1"/>
  <c r="F660" i="1"/>
  <c r="H660" i="1"/>
  <c r="D126" i="2"/>
  <c r="D127" i="2" s="1"/>
  <c r="D144" i="2" s="1"/>
  <c r="D90" i="2"/>
  <c r="D61" i="2"/>
  <c r="D62" i="2" s="1"/>
  <c r="G624" i="1"/>
  <c r="F49" i="2"/>
  <c r="F50" i="2" s="1"/>
  <c r="F31" i="2"/>
  <c r="F18" i="2"/>
  <c r="G622" i="1"/>
  <c r="D18" i="2"/>
  <c r="G621" i="1"/>
  <c r="C31" i="2"/>
  <c r="C50" i="2" s="1"/>
  <c r="J616" i="1"/>
  <c r="C18" i="2"/>
  <c r="F191" i="1"/>
  <c r="C102" i="2"/>
  <c r="C77" i="2"/>
  <c r="C80" i="2" s="1"/>
  <c r="C61" i="2"/>
  <c r="C62" i="2" s="1"/>
  <c r="F111" i="1"/>
  <c r="E62" i="2"/>
  <c r="C35" i="10"/>
  <c r="G111" i="1"/>
  <c r="C26" i="10"/>
  <c r="L350" i="1"/>
  <c r="C25" i="10"/>
  <c r="E143" i="2"/>
  <c r="C131" i="2"/>
  <c r="H25" i="13"/>
  <c r="K256" i="1"/>
  <c r="K270" i="1" s="1"/>
  <c r="J256" i="1"/>
  <c r="J270" i="1" s="1"/>
  <c r="C15" i="10"/>
  <c r="I256" i="1"/>
  <c r="I270" i="1" s="1"/>
  <c r="C109" i="2"/>
  <c r="C18" i="10"/>
  <c r="H661" i="1"/>
  <c r="C121" i="2"/>
  <c r="H256" i="1"/>
  <c r="H270" i="1" s="1"/>
  <c r="C118" i="2"/>
  <c r="D18" i="13"/>
  <c r="C18" i="13" s="1"/>
  <c r="C120" i="2"/>
  <c r="G256" i="1"/>
  <c r="G270" i="1" s="1"/>
  <c r="C122" i="2"/>
  <c r="C19" i="10"/>
  <c r="A31" i="12"/>
  <c r="C21" i="10"/>
  <c r="D15" i="13"/>
  <c r="C15" i="13" s="1"/>
  <c r="C123" i="2"/>
  <c r="F661" i="1"/>
  <c r="H646" i="1"/>
  <c r="C23" i="10"/>
  <c r="C124" i="2"/>
  <c r="D12" i="13"/>
  <c r="C12" i="13" s="1"/>
  <c r="L246" i="1"/>
  <c r="C117" i="2"/>
  <c r="D6" i="13"/>
  <c r="C6" i="13" s="1"/>
  <c r="E16" i="13"/>
  <c r="C16" i="13" s="1"/>
  <c r="C17" i="10"/>
  <c r="D14" i="13"/>
  <c r="C14" i="13" s="1"/>
  <c r="F256" i="1"/>
  <c r="F270" i="1" s="1"/>
  <c r="D7" i="13"/>
  <c r="C7" i="13" s="1"/>
  <c r="L228" i="1"/>
  <c r="C16" i="10"/>
  <c r="C111" i="2"/>
  <c r="C110" i="2"/>
  <c r="C10" i="10"/>
  <c r="E13" i="13"/>
  <c r="C13" i="13" s="1"/>
  <c r="E8" i="13"/>
  <c r="C8" i="13" s="1"/>
  <c r="C119" i="2"/>
  <c r="C108" i="2"/>
  <c r="L210" i="1"/>
  <c r="D5" i="13"/>
  <c r="C5" i="13" s="1"/>
  <c r="C24" i="10"/>
  <c r="G31" i="13"/>
  <c r="G33" i="13" s="1"/>
  <c r="I337" i="1"/>
  <c r="I351" i="1" s="1"/>
  <c r="J649" i="1"/>
  <c r="L406" i="1"/>
  <c r="C139" i="2" s="1"/>
  <c r="I191" i="1"/>
  <c r="E90" i="2"/>
  <c r="D50" i="2"/>
  <c r="J653" i="1"/>
  <c r="J652" i="1"/>
  <c r="G21" i="2"/>
  <c r="G31" i="2" s="1"/>
  <c r="J32" i="1"/>
  <c r="J433" i="1"/>
  <c r="F433" i="1"/>
  <c r="K433" i="1"/>
  <c r="G133" i="2" s="1"/>
  <c r="G143" i="2" s="1"/>
  <c r="G144" i="2" s="1"/>
  <c r="F31" i="13"/>
  <c r="J192" i="1"/>
  <c r="G645" i="1" s="1"/>
  <c r="H192" i="1"/>
  <c r="G628" i="1" s="1"/>
  <c r="J628" i="1" s="1"/>
  <c r="G168" i="1"/>
  <c r="C39" i="10" s="1"/>
  <c r="G139" i="1"/>
  <c r="F139" i="1"/>
  <c r="G62" i="2"/>
  <c r="G103" i="2" s="1"/>
  <c r="J617" i="1"/>
  <c r="G42" i="2"/>
  <c r="J50" i="1"/>
  <c r="G16" i="2"/>
  <c r="G18" i="2" s="1"/>
  <c r="J19" i="1"/>
  <c r="G620" i="1" s="1"/>
  <c r="F33" i="13"/>
  <c r="F544" i="1"/>
  <c r="H433" i="1"/>
  <c r="J619" i="1"/>
  <c r="J618" i="1"/>
  <c r="D102" i="2"/>
  <c r="I139" i="1"/>
  <c r="A22" i="12"/>
  <c r="G49" i="2"/>
  <c r="J651" i="1"/>
  <c r="G570" i="1"/>
  <c r="I433" i="1"/>
  <c r="G433" i="1"/>
  <c r="I662" i="1"/>
  <c r="J646" i="1" l="1"/>
  <c r="K551" i="1"/>
  <c r="L544" i="1"/>
  <c r="H659" i="1"/>
  <c r="H663" i="1" s="1"/>
  <c r="H666" i="1" s="1"/>
  <c r="G659" i="1"/>
  <c r="G663" i="1" s="1"/>
  <c r="G666" i="1" s="1"/>
  <c r="E127" i="2"/>
  <c r="E114" i="2"/>
  <c r="D31" i="13"/>
  <c r="C31" i="13" s="1"/>
  <c r="H647" i="1"/>
  <c r="J647" i="1" s="1"/>
  <c r="L337" i="1"/>
  <c r="L351" i="1" s="1"/>
  <c r="G632" i="1" s="1"/>
  <c r="J632" i="1" s="1"/>
  <c r="F659" i="1"/>
  <c r="F663" i="1" s="1"/>
  <c r="F666" i="1" s="1"/>
  <c r="F103" i="2"/>
  <c r="I192" i="1"/>
  <c r="E103" i="2"/>
  <c r="I460" i="1"/>
  <c r="H641" i="1" s="1"/>
  <c r="J641" i="1" s="1"/>
  <c r="G50" i="2"/>
  <c r="L433" i="1"/>
  <c r="G637" i="1" s="1"/>
  <c r="J637" i="1" s="1"/>
  <c r="L407" i="1"/>
  <c r="G636" i="1" s="1"/>
  <c r="J636" i="1" s="1"/>
  <c r="C140" i="2"/>
  <c r="C143" i="2" s="1"/>
  <c r="G635" i="1"/>
  <c r="I473" i="1"/>
  <c r="H635" i="1"/>
  <c r="I660" i="1"/>
  <c r="H634" i="1"/>
  <c r="G634" i="1"/>
  <c r="C27" i="10"/>
  <c r="C28" i="10" s="1"/>
  <c r="D19" i="10" s="1"/>
  <c r="D103" i="2"/>
  <c r="C103" i="2"/>
  <c r="F192" i="1"/>
  <c r="C36" i="10"/>
  <c r="C25" i="13"/>
  <c r="H33" i="13"/>
  <c r="I661" i="1"/>
  <c r="C127" i="2"/>
  <c r="C114" i="2"/>
  <c r="E33" i="13"/>
  <c r="D35" i="13" s="1"/>
  <c r="L256" i="1"/>
  <c r="L270" i="1" s="1"/>
  <c r="G630" i="1"/>
  <c r="J630" i="1" s="1"/>
  <c r="G192" i="1"/>
  <c r="G625" i="1"/>
  <c r="J625" i="1" s="1"/>
  <c r="J51" i="1"/>
  <c r="H620" i="1" s="1"/>
  <c r="J620" i="1" s="1"/>
  <c r="C38" i="10"/>
  <c r="G631" i="1" l="1"/>
  <c r="F471" i="1"/>
  <c r="E144" i="2"/>
  <c r="I659" i="1"/>
  <c r="D33" i="13"/>
  <c r="D36" i="13" s="1"/>
  <c r="G629" i="1"/>
  <c r="I467" i="1"/>
  <c r="G626" i="1"/>
  <c r="F467" i="1"/>
  <c r="H645" i="1"/>
  <c r="J645" i="1" s="1"/>
  <c r="J635" i="1"/>
  <c r="J634" i="1"/>
  <c r="G671" i="1"/>
  <c r="C5" i="10" s="1"/>
  <c r="G627" i="1"/>
  <c r="G467" i="1"/>
  <c r="I663" i="1"/>
  <c r="I671" i="1" s="1"/>
  <c r="C7" i="10" s="1"/>
  <c r="H671" i="1"/>
  <c r="C6" i="10" s="1"/>
  <c r="C144" i="2"/>
  <c r="F671" i="1"/>
  <c r="C4" i="10" s="1"/>
  <c r="D11" i="10"/>
  <c r="D18" i="10"/>
  <c r="D12" i="10"/>
  <c r="D22" i="10"/>
  <c r="D27" i="10"/>
  <c r="D17" i="10"/>
  <c r="D24" i="10"/>
  <c r="D13" i="10"/>
  <c r="D21" i="10"/>
  <c r="D10" i="10"/>
  <c r="D26" i="10"/>
  <c r="C30" i="10"/>
  <c r="D16" i="10"/>
  <c r="D23" i="10"/>
  <c r="D20" i="10"/>
  <c r="D15" i="10"/>
  <c r="D25" i="10"/>
  <c r="C41" i="10"/>
  <c r="D38" i="10" s="1"/>
  <c r="F473" i="1" l="1"/>
  <c r="H631" i="1"/>
  <c r="J631" i="1" s="1"/>
  <c r="H629" i="1"/>
  <c r="J629" i="1" s="1"/>
  <c r="I469" i="1"/>
  <c r="I475" i="1" s="1"/>
  <c r="H624" i="1" s="1"/>
  <c r="J624" i="1" s="1"/>
  <c r="F469" i="1"/>
  <c r="H626" i="1"/>
  <c r="J626" i="1" s="1"/>
  <c r="H627" i="1"/>
  <c r="J627" i="1" s="1"/>
  <c r="G469" i="1"/>
  <c r="G475" i="1" s="1"/>
  <c r="H622" i="1" s="1"/>
  <c r="I666" i="1"/>
  <c r="D28" i="10"/>
  <c r="D37" i="10"/>
  <c r="D36" i="10"/>
  <c r="D35" i="10"/>
  <c r="D40" i="10"/>
  <c r="D39" i="10"/>
  <c r="F475" i="1" l="1"/>
  <c r="H621" i="1" s="1"/>
  <c r="J621" i="1" s="1"/>
  <c r="J622" i="1"/>
  <c r="D41" i="10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<sst xmlns="http://schemas.openxmlformats.org/spreadsheetml/2006/main" count="3954" uniqueCount="920">
  <si>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</si>
  <si>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</si>
  <si>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</si>
  <si>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</si>
  <si>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</si>
  <si>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</si>
  <si>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</si>
  <si>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</si>
  <si>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</si>
  <si>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</si>
  <si>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</si>
  <si>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</si>
  <si>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</si>
  <si>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</si>
  <si>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</si>
  <si>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</si>
  <si>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</si>
  <si>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</si>
  <si>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</si>
  <si>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</si>
  <si>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</si>
  <si>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</si>
  <si>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</si>
  <si>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</si>
  <si>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</si>
  <si>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</si>
  <si>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</si>
  <si>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</si>
  <si>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</si>
  <si>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</si>
  <si>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</si>
  <si>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</si>
  <si>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</si>
  <si>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</si>
  <si>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</si>
  <si>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</si>
  <si>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</si>
  <si>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</si>
  <si>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</si>
  <si>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</si>
  <si>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</si>
  <si>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</si>
  <si>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</si>
  <si>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</si>
  <si>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</si>
  <si>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</si>
  <si>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</si>
  <si>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</si>
  <si>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</si>
  <si>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</si>
  <si>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</si>
  <si>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</si>
  <si>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</si>
  <si>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</si>
  <si>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</si>
  <si>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</si>
  <si>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</si>
  <si>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</si>
  <si>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</si>
  <si>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</si>
  <si>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</si>
  <si>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</si>
  <si>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</si>
  <si>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</si>
  <si>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</si>
  <si>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</si>
  <si>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</si>
  <si>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</si>
  <si>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</si>
  <si>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</si>
  <si>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</si>
  <si>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</si>
  <si>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</si>
  <si>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</si>
  <si>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</si>
  <si>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</si>
  <si>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</si>
  <si>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</si>
  <si>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</si>
  <si>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</si>
  <si>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</si>
  <si>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</si>
  <si>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</si>
  <si>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</si>
  <si>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</si>
  <si>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</si>
  <si>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</si>
  <si>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</si>
  <si>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</si>
  <si>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</si>
  <si>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</si>
  <si>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</si>
  <si>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</si>
  <si>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</si>
  <si>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</si>
  <si>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</si>
  <si>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</si>
  <si>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</si>
  <si>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</si>
  <si>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</si>
  <si>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</si>
  <si>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</si>
  <si>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</si>
  <si>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</si>
  <si>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</si>
  <si>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</si>
  <si>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</si>
  <si>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</si>
  <si>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</si>
  <si>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</si>
  <si>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</si>
  <si>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</si>
  <si>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</si>
  <si>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</si>
  <si>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</si>
  <si>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</si>
  <si>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</si>
  <si>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</si>
  <si>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</si>
  <si>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</si>
  <si>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</si>
  <si>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</si>
  <si>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</si>
  <si>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</si>
  <si>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</si>
  <si>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</si>
  <si>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</si>
  <si>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</si>
  <si>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</si>
  <si>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</si>
  <si>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</si>
  <si>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</si>
  <si>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</si>
  <si>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</si>
  <si>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</si>
  <si>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</si>
  <si>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</si>
  <si>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</si>
  <si>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</si>
  <si>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</si>
  <si>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</si>
  <si>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</si>
  <si>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</si>
  <si>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</si>
  <si>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</si>
  <si>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</si>
  <si>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</si>
  <si>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</si>
  <si>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</si>
  <si>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</si>
  <si>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</si>
  <si>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</si>
  <si>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</si>
  <si>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</si>
  <si>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</si>
  <si>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</si>
  <si>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</si>
  <si>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</si>
  <si>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</si>
  <si>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</si>
  <si>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</si>
  <si>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</si>
  <si>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</si>
  <si>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</si>
  <si>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</si>
  <si>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</si>
  <si>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</si>
  <si>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</si>
  <si>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</si>
  <si>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</si>
  <si>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</si>
  <si>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</si>
  <si>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</si>
  <si>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</si>
  <si>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</si>
  <si>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</si>
  <si>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</si>
  <si>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</si>
  <si>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</si>
  <si>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</si>
  <si>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</si>
  <si>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</si>
  <si>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</si>
  <si>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</si>
  <si>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</si>
  <si>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</si>
  <si>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</si>
  <si>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</si>
  <si>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</si>
  <si>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</si>
  <si>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</si>
  <si>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</si>
  <si>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</si>
  <si>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</si>
  <si>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</si>
  <si>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</si>
  <si>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</si>
  <si>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</si>
  <si>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</si>
  <si>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</si>
  <si>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</si>
  <si>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</si>
  <si>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</si>
  <si>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</si>
  <si>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</si>
  <si>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</si>
  <si>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</si>
  <si>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</si>
  <si>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</si>
  <si>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</si>
  <si>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</si>
  <si>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</si>
  <si>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</si>
  <si>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</si>
  <si>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</si>
  <si>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</si>
  <si>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</si>
  <si>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</si>
  <si>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</si>
  <si>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</si>
  <si>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</si>
  <si>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</si>
  <si>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</si>
  <si>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</si>
  <si>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</si>
  <si>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</si>
  <si>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</si>
  <si>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</si>
  <si>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</si>
  <si>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</si>
  <si>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</si>
  <si>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</si>
  <si>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</si>
  <si>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</si>
  <si>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</si>
  <si>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</si>
  <si>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</si>
  <si>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</si>
  <si>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</si>
  <si>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</si>
  <si>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</si>
  <si>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</si>
  <si>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</si>
  <si>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</si>
  <si>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</si>
  <si>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</si>
  <si>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</si>
  <si>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</si>
  <si>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</si>
  <si>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</si>
  <si>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</si>
  <si>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</si>
  <si>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</si>
  <si>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</si>
  <si>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</si>
  <si>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</si>
  <si>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</si>
  <si>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</si>
  <si>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</si>
  <si>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</si>
  <si>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</si>
  <si>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</si>
  <si>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</si>
  <si>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</si>
  <si>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</si>
  <si>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</si>
  <si>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</si>
  <si>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</si>
  <si>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</si>
  <si>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</si>
  <si>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</si>
  <si>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</si>
  <si>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</si>
  <si>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</si>
  <si>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</si>
  <si>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</si>
  <si>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</si>
  <si>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</si>
  <si>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</si>
  <si>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</si>
  <si>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</si>
  <si>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</si>
  <si>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</si>
  <si>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</si>
  <si>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</si>
  <si>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</si>
  <si>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</si>
  <si>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</si>
  <si>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</si>
  <si>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</si>
  <si>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</si>
  <si>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</si>
  <si>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</si>
  <si>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</si>
  <si>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</si>
  <si>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</si>
  <si>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</si>
  <si>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</si>
  <si>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</si>
  <si>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</si>
  <si>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</si>
  <si>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</si>
  <si>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</si>
  <si>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</si>
  <si>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</si>
  <si>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</si>
  <si>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</si>
  <si>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</si>
  <si>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</si>
  <si>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</si>
  <si>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</si>
  <si>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</si>
  <si>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</si>
  <si>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</si>
  <si>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</si>
  <si>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</si>
  <si>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</si>
  <si>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</si>
  <si>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</si>
  <si>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</si>
  <si>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</si>
  <si>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</si>
  <si>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</si>
  <si>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</si>
  <si>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</si>
  <si>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</si>
  <si>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</si>
  <si>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</si>
  <si>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</si>
  <si>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</si>
  <si>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</si>
  <si>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</si>
  <si>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</si>
  <si>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</si>
  <si>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</si>
  <si>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</si>
  <si>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</si>
  <si>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</si>
  <si>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</si>
  <si>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</si>
  <si>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</si>
  <si>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</si>
  <si>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</si>
  <si>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</si>
  <si>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</si>
  <si>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</si>
  <si>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</si>
  <si>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</si>
  <si>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</si>
  <si>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</si>
  <si>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</si>
  <si>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</si>
  <si>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</si>
  <si>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</si>
  <si>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</si>
  <si>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</si>
  <si>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</si>
  <si>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</si>
  <si>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</si>
  <si>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</si>
  <si>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</si>
  <si>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</si>
  <si>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</si>
  <si>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</si>
  <si>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</si>
  <si>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</si>
  <si>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</si>
  <si>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</si>
  <si>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</si>
  <si>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</si>
  <si>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</si>
  <si>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</si>
  <si>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</si>
  <si>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</si>
  <si>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</si>
  <si>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</si>
  <si>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</si>
  <si>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</si>
  <si>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</si>
  <si>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</si>
  <si>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</si>
  <si>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</si>
  <si>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</si>
  <si>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</si>
  <si>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</si>
  <si>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</si>
  <si>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</si>
  <si>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</si>
  <si>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</si>
  <si>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</si>
  <si>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</si>
  <si>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</si>
  <si>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</si>
  <si>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</si>
  <si>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</si>
  <si>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</si>
  <si>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</si>
  <si>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</si>
  <si>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</si>
  <si>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</si>
  <si>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</si>
  <si>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</si>
  <si>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</si>
  <si>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</si>
  <si>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</si>
  <si>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</si>
  <si>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</si>
  <si>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</si>
  <si>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</si>
  <si>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</si>
  <si>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</si>
  <si>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</si>
  <si>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</si>
  <si>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</si>
  <si>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</si>
  <si>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</si>
  <si>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</si>
  <si>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</si>
  <si>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</si>
  <si>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</si>
  <si>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</si>
  <si>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</si>
  <si>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</si>
  <si>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</si>
  <si>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</si>
  <si>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</si>
  <si>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</si>
  <si>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</si>
  <si>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</si>
  <si>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</si>
  <si>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</si>
  <si>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</si>
  <si>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</si>
  <si>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</si>
  <si>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</si>
  <si>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</si>
  <si>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</si>
  <si>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</si>
  <si>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</si>
  <si>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</si>
  <si>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</si>
  <si>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</si>
  <si>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</si>
  <si>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</si>
  <si>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</si>
  <si>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</si>
  <si>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</si>
  <si>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</si>
  <si>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</si>
  <si>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</si>
  <si>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</si>
  <si>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</si>
  <si>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</si>
  <si>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</si>
  <si>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</si>
  <si>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</si>
  <si>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</si>
  <si>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</si>
  <si>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</si>
  <si>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</si>
  <si>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</si>
  <si>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</si>
  <si>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</si>
  <si>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</si>
  <si>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</si>
  <si>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</si>
  <si>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</si>
  <si>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</si>
  <si>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</si>
  <si>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</si>
  <si>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</si>
  <si>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</si>
  <si>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</si>
  <si>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</si>
  <si>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</si>
  <si>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</si>
  <si>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</si>
  <si>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</si>
  <si>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</si>
  <si>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</si>
  <si>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</si>
  <si>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</si>
  <si>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</si>
  <si>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</si>
  <si>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</si>
  <si>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</si>
  <si>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</si>
  <si>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</si>
  <si>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</si>
  <si>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</si>
  <si>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</si>
  <si>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</si>
  <si>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</si>
  <si>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</si>
  <si>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</si>
  <si>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</si>
  <si>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</si>
  <si>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</si>
  <si>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</si>
  <si>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</si>
  <si>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</si>
  <si>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</si>
  <si>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</si>
  <si>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</si>
  <si>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</si>
  <si>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</si>
  <si>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</si>
  <si>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</si>
  <si>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</si>
  <si>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</si>
  <si>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</si>
  <si>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</si>
  <si>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</si>
  <si>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</si>
  <si>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</si>
  <si>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</si>
  <si>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</si>
  <si>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</si>
  <si>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</si>
  <si>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</si>
  <si>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</si>
  <si>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</si>
  <si>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</si>
  <si>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</si>
  <si>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</si>
  <si>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</si>
  <si>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</si>
  <si>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</si>
  <si>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</si>
  <si>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</si>
  <si>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</si>
  <si>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</si>
  <si>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</si>
  <si>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</si>
  <si>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</si>
  <si>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</si>
  <si>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</si>
  <si>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</si>
  <si>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</si>
  <si>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</si>
  <si>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</si>
  <si>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</si>
  <si>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</si>
  <si>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</si>
  <si>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</si>
  <si>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</si>
  <si>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</si>
  <si>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</si>
  <si>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</si>
  <si>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</si>
  <si>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</si>
  <si>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</si>
  <si>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</si>
  <si>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</si>
  <si>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</si>
  <si>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</si>
  <si>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</si>
  <si>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</si>
  <si>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</si>
  <si>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</si>
  <si>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</si>
  <si>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</si>
  <si>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</si>
  <si>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</si>
  <si>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</si>
  <si>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</si>
  <si>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</si>
  <si>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</si>
  <si>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</si>
  <si>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</si>
  <si>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</si>
  <si>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</si>
  <si>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</si>
  <si>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</si>
  <si>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</si>
  <si>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</si>
  <si>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</si>
  <si>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</si>
  <si>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</si>
  <si>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</si>
  <si>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</si>
  <si>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</si>
  <si>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</si>
  <si>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</si>
  <si>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</si>
  <si>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</si>
  <si>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</si>
  <si>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</si>
  <si>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</si>
  <si>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</si>
  <si>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</si>
  <si>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</si>
  <si>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</si>
  <si>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</si>
  <si>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</si>
  <si>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</si>
  <si>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</si>
  <si>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</si>
  <si>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</si>
  <si>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</si>
  <si>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</si>
  <si>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</si>
  <si>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</si>
  <si>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</si>
  <si>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</si>
  <si>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</si>
  <si>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</si>
  <si>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</si>
  <si>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</si>
  <si>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</si>
  <si>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</si>
  <si>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</si>
  <si>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</si>
  <si>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</si>
  <si>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</si>
  <si>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</si>
  <si>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</si>
  <si>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</si>
  <si>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</si>
  <si>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</si>
  <si>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</si>
  <si>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</si>
  <si>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</si>
  <si>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</si>
  <si>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</si>
  <si>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</si>
  <si>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</si>
  <si>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</si>
  <si>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</si>
  <si>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</si>
  <si>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</si>
  <si>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</si>
  <si>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</si>
  <si>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</si>
  <si>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</si>
  <si>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</si>
  <si>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</si>
  <si>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</si>
  <si>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</si>
  <si>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</si>
  <si>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</si>
  <si>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</si>
  <si>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</si>
  <si>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</si>
  <si>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</si>
  <si>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</si>
  <si>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</si>
  <si>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</si>
  <si>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</si>
  <si>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</si>
  <si>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</si>
  <si>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</si>
  <si>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</si>
  <si>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</si>
  <si>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</si>
  <si>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</si>
  <si>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</si>
  <si>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</si>
  <si>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</si>
  <si>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</si>
  <si>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</si>
  <si>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</si>
  <si>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</si>
  <si>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</si>
  <si>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</si>
  <si>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</si>
  <si>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</si>
  <si>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</si>
  <si>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</si>
  <si>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</si>
  <si>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</si>
  <si>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</si>
  <si>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</si>
  <si>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</si>
  <si>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</si>
  <si>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</si>
  <si>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</si>
  <si>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</si>
  <si>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</si>
  <si>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</si>
  <si>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</si>
  <si>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</si>
  <si>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</si>
  <si>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</si>
  <si>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</si>
  <si>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</si>
  <si>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</si>
  <si>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</si>
  <si>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</si>
  <si>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</si>
  <si>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</si>
  <si>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</si>
  <si>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</si>
  <si>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</si>
  <si>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</si>
  <si>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</si>
  <si>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</si>
  <si>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</si>
  <si>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</si>
  <si>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</si>
  <si>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</si>
  <si>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</si>
  <si>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</si>
  <si>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</si>
  <si>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</si>
  <si>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</si>
  <si>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</si>
  <si>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</si>
  <si>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</si>
  <si>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</si>
  <si>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</si>
  <si>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</si>
  <si>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</si>
  <si>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</si>
  <si>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</si>
  <si>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</si>
  <si>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</si>
  <si>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</si>
  <si>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</si>
  <si>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</si>
  <si>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</si>
  <si>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</si>
  <si>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</si>
  <si>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</si>
  <si>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</si>
  <si>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</si>
  <si>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</si>
  <si>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</si>
  <si>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</si>
  <si>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</si>
  <si>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</si>
  <si>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</si>
  <si>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</si>
  <si>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</si>
  <si>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</si>
  <si>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</si>
  <si>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</si>
  <si>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</si>
  <si>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</si>
  <si>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</si>
  <si>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</si>
  <si>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</si>
  <si>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</si>
  <si>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</si>
  <si>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</si>
  <si>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</si>
  <si>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</si>
  <si>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</si>
  <si>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</si>
  <si>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</si>
  <si>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</si>
  <si>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</si>
  <si>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</si>
  <si>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</si>
  <si>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</si>
  <si>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</si>
  <si>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</si>
  <si>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</si>
  <si>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</si>
  <si>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</si>
  <si>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</si>
  <si>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</si>
  <si>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</si>
  <si>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</si>
  <si>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</si>
  <si>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</si>
  <si>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</si>
  <si>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</si>
  <si>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</si>
  <si>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</si>
  <si>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</si>
  <si>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</si>
  <si>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</si>
  <si>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</si>
  <si>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</si>
  <si>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</si>
  <si>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</si>
  <si>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</si>
  <si>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</si>
  <si>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</si>
  <si>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</si>
  <si>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</si>
  <si>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</si>
  <si>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</si>
  <si>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</si>
  <si>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</si>
  <si>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</si>
  <si>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</si>
  <si>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</si>
  <si>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</si>
  <si>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</si>
  <si>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</si>
  <si>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</si>
  <si>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</si>
  <si>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</si>
  <si>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</si>
  <si>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</si>
  <si>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</si>
  <si>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</si>
  <si>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</si>
  <si>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</si>
  <si>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</si>
  <si>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</si>
  <si>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</si>
  <si>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</si>
  <si>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</si>
  <si>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</si>
  <si>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</si>
  <si>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</si>
  <si>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</si>
  <si>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</si>
  <si>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</si>
  <si>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</si>
  <si>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</si>
  <si>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</si>
  <si>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</si>
  <si>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</si>
  <si>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</si>
  <si>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</si>
  <si>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</si>
  <si>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</si>
  <si>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</si>
  <si>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</si>
  <si>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</si>
  <si>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</si>
  <si>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</si>
  <si>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</si>
  <si>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</si>
  <si>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</si>
  <si>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</si>
  <si>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</si>
  <si>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</si>
  <si>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</si>
  <si>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</si>
  <si>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</si>
  <si>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</si>
  <si>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</si>
  <si>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</si>
  <si>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</si>
  <si>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</si>
  <si>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</si>
  <si>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</si>
  <si>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</si>
  <si>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</si>
  <si>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</si>
  <si>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</si>
  <si>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</si>
  <si>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</si>
  <si>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</si>
  <si>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</si>
  <si>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</si>
  <si>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</si>
  <si>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</si>
  <si>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</si>
  <si>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</si>
  <si>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</si>
  <si>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</si>
  <si>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</si>
  <si>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</si>
  <si>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</si>
  <si>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</si>
  <si>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</si>
  <si>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</si>
  <si>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</si>
  <si>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</si>
  <si>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</si>
  <si>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</si>
  <si>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</si>
  <si>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</si>
  <si>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</si>
  <si>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</si>
  <si>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</si>
  <si>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</si>
  <si>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</si>
  <si>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</si>
  <si>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</si>
  <si>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</si>
  <si>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</si>
  <si>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</si>
  <si>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</si>
  <si>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</si>
  <si>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</si>
  <si>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</si>
  <si>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</si>
  <si>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</si>
  <si>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</si>
  <si>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</si>
  <si>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</si>
  <si>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</si>
  <si>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</si>
  <si>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</si>
  <si>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</si>
  <si>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</si>
  <si>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</si>
  <si>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</si>
  <si>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</si>
  <si>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</si>
  <si>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</si>
  <si>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</si>
  <si>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</si>
  <si>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</si>
  <si>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</si>
  <si>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</si>
  <si>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</si>
  <si>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</si>
  <si>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</si>
  <si>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</si>
  <si>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</si>
  <si>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</si>
  <si>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Beford School District</t>
  </si>
  <si>
    <t>8/08</t>
  </si>
  <si>
    <t>11/02</t>
  </si>
  <si>
    <t>8/07</t>
  </si>
  <si>
    <t>8/18</t>
  </si>
  <si>
    <t>11/12</t>
  </si>
  <si>
    <t>7/29</t>
  </si>
  <si>
    <t>7/26</t>
  </si>
  <si>
    <t>8/17</t>
  </si>
  <si>
    <t>7/05</t>
  </si>
  <si>
    <t>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</si>
</sst>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41</v>
      </c>
      <c r="C2" s="21">
        <v>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5645611.4800000004</v>
      </c>
      <c r="G9" s="18">
        <v>497</v>
      </c>
      <c r="H9" s="18">
        <v>0</v>
      </c>
      <c r="I9" s="18">
        <v>0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87524.61</v>
      </c>
      <c r="G12" s="18">
        <v>293815.8</v>
      </c>
      <c r="H12" s="18">
        <v>0</v>
      </c>
      <c r="I12" s="18">
        <v>257767.49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125018.14</v>
      </c>
      <c r="G13" s="18">
        <v>39566.339999999997</v>
      </c>
      <c r="H13" s="18">
        <v>760964.69</v>
      </c>
      <c r="I13" s="18">
        <v>0</v>
      </c>
      <c r="J13" s="67">
        <f>SUM(I441)</f>
        <v>830209.54999999993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106597.46</v>
      </c>
      <c r="G14" s="18">
        <v>1060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17550.22</v>
      </c>
      <c r="G17" s="18">
        <v>0</v>
      </c>
      <c r="H17" s="18">
        <v>1680.54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5982301.9100000001</v>
      </c>
      <c r="G19" s="41">
        <f>SUM(G9:G18)</f>
        <v>334939.14</v>
      </c>
      <c r="H19" s="41">
        <f>SUM(H9:H18)</f>
        <v>762645.23</v>
      </c>
      <c r="I19" s="41">
        <f>SUM(I9:I18)</f>
        <v>257767.49</v>
      </c>
      <c r="J19" s="41">
        <f>SUM(J9:J18)</f>
        <v>830209.54999999993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639107.9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946346.06</v>
      </c>
      <c r="G24" s="18">
        <v>9404.0400000000009</v>
      </c>
      <c r="H24" s="18">
        <v>24173.5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2348221.85</v>
      </c>
      <c r="G28" s="18">
        <v>10547.33</v>
      </c>
      <c r="H28" s="18">
        <v>89460.42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62857.5</v>
      </c>
      <c r="G30" s="18">
        <v>50149.71</v>
      </c>
      <c r="H30" s="18">
        <v>9903.41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3357425.41</v>
      </c>
      <c r="G32" s="41">
        <f>SUM(G22:G31)</f>
        <v>70101.08</v>
      </c>
      <c r="H32" s="41">
        <f>SUM(H22:H31)</f>
        <v>762645.2300000001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17550.22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264473.06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257767.49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0</v>
      </c>
      <c r="I47" s="18">
        <v>0</v>
      </c>
      <c r="J47" s="13">
        <f>SUM(I458)</f>
        <v>830209.54999999993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171274.86</v>
      </c>
      <c r="G48" s="18">
        <v>365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2436051.42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2624876.5</v>
      </c>
      <c r="G50" s="41">
        <f>SUM(G35:G49)</f>
        <v>264838.06</v>
      </c>
      <c r="H50" s="41">
        <f>SUM(H35:H49)</f>
        <v>0</v>
      </c>
      <c r="I50" s="41">
        <f>SUM(I35:I49)</f>
        <v>257767.49</v>
      </c>
      <c r="J50" s="41">
        <f>SUM(J35:J49)</f>
        <v>830209.54999999993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5982301.9100000001</v>
      </c>
      <c r="G51" s="41">
        <f>G50+G32</f>
        <v>334939.14</v>
      </c>
      <c r="H51" s="41">
        <f>H50+H32</f>
        <v>762645.2300000001</v>
      </c>
      <c r="I51" s="41">
        <f>I50+I32</f>
        <v>257767.49</v>
      </c>
      <c r="J51" s="41">
        <f>J50+J32</f>
        <v>830209.54999999993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42475306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75000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42550306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128366.34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52300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12024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4367.4799999999996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69997.72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267055.54000000004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680.37</v>
      </c>
      <c r="G95" s="18">
        <v>0</v>
      </c>
      <c r="H95" s="18">
        <v>0</v>
      </c>
      <c r="I95" s="18">
        <v>0</v>
      </c>
      <c r="J95" s="18">
        <v>2040.41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1375994.37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95050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2359.1799999999998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366321.86</v>
      </c>
      <c r="G109" s="18">
        <v>0</v>
      </c>
      <c r="H109" s="18">
        <v>929.96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462052.23</v>
      </c>
      <c r="G110" s="41">
        <f>SUM(G95:G109)</f>
        <v>1375994.37</v>
      </c>
      <c r="H110" s="41">
        <f>SUM(H95:H109)</f>
        <v>3289.14</v>
      </c>
      <c r="I110" s="41">
        <f>SUM(I95:I109)</f>
        <v>0</v>
      </c>
      <c r="J110" s="41">
        <f>SUM(J95:J109)</f>
        <v>2040.41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43279413.769999996</v>
      </c>
      <c r="G111" s="41">
        <f>G59+G110</f>
        <v>1375994.37</v>
      </c>
      <c r="H111" s="41">
        <f>H59+H78+H93+H110</f>
        <v>3289.14</v>
      </c>
      <c r="I111" s="41">
        <f>I59+I110</f>
        <v>0</v>
      </c>
      <c r="J111" s="41">
        <f>J59+J110</f>
        <v>2040.41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3461737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7697159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11158896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1067384.3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488550.29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8298.2099999999991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17582.97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16717.5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1580950.3</v>
      </c>
      <c r="G135" s="41">
        <f>SUM(G122:G134)</f>
        <v>17582.97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12739846.300000001</v>
      </c>
      <c r="G139" s="41">
        <f>G120+SUM(G135:G136)</f>
        <v>17582.97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v>0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114727.98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66262.37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10000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191113.78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932462.56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512379.08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8537.2199999999993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512379.08</v>
      </c>
      <c r="G161" s="41">
        <f>SUM(G149:G160)</f>
        <v>191113.78</v>
      </c>
      <c r="H161" s="41">
        <f>SUM(H149:H160)</f>
        <v>1131990.1300000001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512379.08</v>
      </c>
      <c r="G168" s="41">
        <f>G146+G161+SUM(G162:G167)</f>
        <v>191113.78</v>
      </c>
      <c r="H168" s="41">
        <f>H146+H161+SUM(H162:H167)</f>
        <v>1131990.1300000001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2429.46</v>
      </c>
      <c r="H178" s="18">
        <v>0</v>
      </c>
      <c r="I178" s="18">
        <v>0</v>
      </c>
      <c r="J178" s="18">
        <v>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2429.46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2429.46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56531639.149999991</v>
      </c>
      <c r="G192" s="47">
        <f>G111+G139+G168+G191</f>
        <v>1587120.58</v>
      </c>
      <c r="H192" s="47">
        <f>H111+H139+H168+H191</f>
        <v>1135279.27</v>
      </c>
      <c r="I192" s="47">
        <f>I111+I139+I168+I191</f>
        <v>0</v>
      </c>
      <c r="J192" s="47">
        <f>J111+J139+J191</f>
        <v>2040.41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7946778.21</v>
      </c>
      <c r="G196" s="18">
        <v>4125353.03</v>
      </c>
      <c r="H196" s="18">
        <v>66066.350000000006</v>
      </c>
      <c r="I196" s="18">
        <v>357515.91</v>
      </c>
      <c r="J196" s="18">
        <v>2986.94</v>
      </c>
      <c r="K196" s="18">
        <v>0</v>
      </c>
      <c r="L196" s="19">
        <f>SUM(F196:K196)</f>
        <v>12498700.439999999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3176634.71</v>
      </c>
      <c r="G197" s="18">
        <v>1649063.21</v>
      </c>
      <c r="H197" s="18">
        <v>163356.56</v>
      </c>
      <c r="I197" s="18">
        <v>29883.21</v>
      </c>
      <c r="J197" s="18">
        <v>0</v>
      </c>
      <c r="K197" s="18">
        <v>0</v>
      </c>
      <c r="L197" s="19">
        <f>SUM(F197:K197)</f>
        <v>5018937.6899999995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50271.05</v>
      </c>
      <c r="G199" s="18">
        <v>26096.84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76367.89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905480.85</v>
      </c>
      <c r="G201" s="18">
        <v>470055.69</v>
      </c>
      <c r="H201" s="18">
        <v>1045522.35</v>
      </c>
      <c r="I201" s="18">
        <v>19559.62</v>
      </c>
      <c r="J201" s="18">
        <v>138784.09</v>
      </c>
      <c r="K201" s="18">
        <v>0</v>
      </c>
      <c r="L201" s="19">
        <f t="shared" ref="L201:L207" si="0">SUM(F201:K201)</f>
        <v>2579402.6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292123.94</v>
      </c>
      <c r="G202" s="18">
        <v>151648.17000000001</v>
      </c>
      <c r="H202" s="18">
        <v>23353.35</v>
      </c>
      <c r="I202" s="18">
        <v>48041.68</v>
      </c>
      <c r="J202" s="18">
        <v>12896.64</v>
      </c>
      <c r="K202" s="18">
        <v>21398.29</v>
      </c>
      <c r="L202" s="19">
        <f t="shared" si="0"/>
        <v>549462.06999999995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341575.58</v>
      </c>
      <c r="G203" s="18">
        <v>177319.64</v>
      </c>
      <c r="H203" s="18">
        <v>44498.23</v>
      </c>
      <c r="I203" s="18">
        <v>12455.43</v>
      </c>
      <c r="J203" s="18">
        <v>0</v>
      </c>
      <c r="K203" s="18">
        <v>11401.69</v>
      </c>
      <c r="L203" s="19">
        <f t="shared" si="0"/>
        <v>587250.57000000007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1062508</v>
      </c>
      <c r="G204" s="18">
        <v>551572.02</v>
      </c>
      <c r="H204" s="18">
        <v>22713.25</v>
      </c>
      <c r="I204" s="18">
        <v>14825.73</v>
      </c>
      <c r="J204" s="18">
        <v>0</v>
      </c>
      <c r="K204" s="18">
        <v>11051.25</v>
      </c>
      <c r="L204" s="19">
        <f t="shared" si="0"/>
        <v>1662670.25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108932.2</v>
      </c>
      <c r="G205" s="18">
        <v>56549.17</v>
      </c>
      <c r="H205" s="18">
        <v>81298.05</v>
      </c>
      <c r="I205" s="18">
        <v>0</v>
      </c>
      <c r="J205" s="18">
        <v>0</v>
      </c>
      <c r="K205" s="18">
        <v>0</v>
      </c>
      <c r="L205" s="19">
        <f t="shared" si="0"/>
        <v>246779.41999999998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725083.96</v>
      </c>
      <c r="G206" s="18">
        <v>376407.54</v>
      </c>
      <c r="H206" s="18">
        <v>913487.76</v>
      </c>
      <c r="I206" s="18">
        <v>547235.56999999995</v>
      </c>
      <c r="J206" s="18">
        <v>14690</v>
      </c>
      <c r="K206" s="18">
        <v>468.25</v>
      </c>
      <c r="L206" s="19">
        <f t="shared" si="0"/>
        <v>2577373.08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19454.18</v>
      </c>
      <c r="G207" s="18">
        <v>10099.11</v>
      </c>
      <c r="H207" s="18">
        <v>1237656.8400000001</v>
      </c>
      <c r="I207" s="18">
        <v>0</v>
      </c>
      <c r="J207" s="18">
        <v>0</v>
      </c>
      <c r="K207" s="18">
        <v>0</v>
      </c>
      <c r="L207" s="19">
        <f t="shared" si="0"/>
        <v>1267210.1300000001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13294.02</v>
      </c>
      <c r="I208" s="18">
        <v>0</v>
      </c>
      <c r="J208" s="18">
        <v>0</v>
      </c>
      <c r="K208" s="18">
        <v>0</v>
      </c>
      <c r="L208" s="19">
        <f>SUM(F208:K208)</f>
        <v>13294.02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14628842.68</v>
      </c>
      <c r="G210" s="41">
        <f t="shared" si="1"/>
        <v>7594164.4199999999</v>
      </c>
      <c r="H210" s="41">
        <f t="shared" si="1"/>
        <v>3611246.7600000002</v>
      </c>
      <c r="I210" s="41">
        <f t="shared" si="1"/>
        <v>1029517.1499999999</v>
      </c>
      <c r="J210" s="41">
        <f t="shared" si="1"/>
        <v>169357.66999999998</v>
      </c>
      <c r="K210" s="41">
        <f t="shared" si="1"/>
        <v>44319.48</v>
      </c>
      <c r="L210" s="41">
        <f t="shared" si="1"/>
        <v>27077448.160000004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3044296.72</v>
      </c>
      <c r="G214" s="18">
        <v>1580363.54</v>
      </c>
      <c r="H214" s="18">
        <v>32554.27</v>
      </c>
      <c r="I214" s="18">
        <v>78299.73</v>
      </c>
      <c r="J214" s="18">
        <v>0</v>
      </c>
      <c r="K214" s="18">
        <v>0</v>
      </c>
      <c r="L214" s="19">
        <f>SUM(F214:K214)</f>
        <v>4735514.26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719267.85</v>
      </c>
      <c r="G215" s="18">
        <v>373388.27</v>
      </c>
      <c r="H215" s="18">
        <v>430336.91</v>
      </c>
      <c r="I215" s="18">
        <v>6794.77</v>
      </c>
      <c r="J215" s="18">
        <v>0</v>
      </c>
      <c r="K215" s="18">
        <v>0</v>
      </c>
      <c r="L215" s="19">
        <f>SUM(F215:K215)</f>
        <v>1529787.8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124050.65</v>
      </c>
      <c r="G217" s="18">
        <v>64397.51</v>
      </c>
      <c r="H217" s="18">
        <v>12130</v>
      </c>
      <c r="I217" s="18">
        <v>5508.56</v>
      </c>
      <c r="J217" s="18">
        <v>0</v>
      </c>
      <c r="K217" s="18">
        <v>890</v>
      </c>
      <c r="L217" s="19">
        <f>SUM(F217:K217)</f>
        <v>206976.72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310759.11</v>
      </c>
      <c r="G219" s="18">
        <v>161322.12</v>
      </c>
      <c r="H219" s="18">
        <v>175524.51</v>
      </c>
      <c r="I219" s="18">
        <v>3507.63</v>
      </c>
      <c r="J219" s="18">
        <v>0</v>
      </c>
      <c r="K219" s="18">
        <v>0</v>
      </c>
      <c r="L219" s="19">
        <f t="shared" ref="L219:L225" si="2">SUM(F219:K219)</f>
        <v>651113.37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93700.14</v>
      </c>
      <c r="G220" s="18">
        <v>48641.87</v>
      </c>
      <c r="H220" s="18">
        <v>7979.09</v>
      </c>
      <c r="I220" s="18">
        <v>17372.38</v>
      </c>
      <c r="J220" s="18">
        <v>43998.77</v>
      </c>
      <c r="K220" s="18">
        <v>6863.6</v>
      </c>
      <c r="L220" s="19">
        <f t="shared" si="2"/>
        <v>218555.85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109561.98</v>
      </c>
      <c r="G221" s="18">
        <v>56876.11</v>
      </c>
      <c r="H221" s="18">
        <v>14273.02</v>
      </c>
      <c r="I221" s="18">
        <v>3995.14</v>
      </c>
      <c r="J221" s="18">
        <v>4136.66</v>
      </c>
      <c r="K221" s="18">
        <v>3657.16</v>
      </c>
      <c r="L221" s="19">
        <f t="shared" si="2"/>
        <v>192500.07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278301.08</v>
      </c>
      <c r="G222" s="18">
        <v>144472.41</v>
      </c>
      <c r="H222" s="18">
        <v>6245.09</v>
      </c>
      <c r="I222" s="18">
        <v>2099.13</v>
      </c>
      <c r="J222" s="18">
        <v>0</v>
      </c>
      <c r="K222" s="18">
        <v>1374.13</v>
      </c>
      <c r="L222" s="19">
        <f t="shared" si="2"/>
        <v>432491.84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34940.519999999997</v>
      </c>
      <c r="G223" s="18">
        <v>18138.419999999998</v>
      </c>
      <c r="H223" s="18">
        <v>26076.73</v>
      </c>
      <c r="I223" s="18">
        <v>0</v>
      </c>
      <c r="J223" s="18">
        <v>0</v>
      </c>
      <c r="K223" s="18">
        <v>0</v>
      </c>
      <c r="L223" s="19">
        <f t="shared" si="2"/>
        <v>79155.67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191416</v>
      </c>
      <c r="G224" s="18">
        <v>99368.39</v>
      </c>
      <c r="H224" s="18">
        <v>141112.82</v>
      </c>
      <c r="I224" s="18">
        <v>47013.8</v>
      </c>
      <c r="J224" s="18">
        <v>0</v>
      </c>
      <c r="K224" s="18">
        <v>150.19999999999999</v>
      </c>
      <c r="L224" s="19">
        <f t="shared" si="2"/>
        <v>479061.21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6240.02</v>
      </c>
      <c r="G225" s="18">
        <v>3239.34</v>
      </c>
      <c r="H225" s="18">
        <v>411456.82</v>
      </c>
      <c r="I225" s="18">
        <v>0</v>
      </c>
      <c r="J225" s="18">
        <v>0</v>
      </c>
      <c r="K225" s="18">
        <v>0</v>
      </c>
      <c r="L225" s="19">
        <f t="shared" si="2"/>
        <v>420936.18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4264.12</v>
      </c>
      <c r="I226" s="18">
        <v>0</v>
      </c>
      <c r="J226" s="18">
        <v>0</v>
      </c>
      <c r="K226" s="18">
        <v>0</v>
      </c>
      <c r="L226" s="19">
        <f>SUM(F226:K226)</f>
        <v>4264.12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4912534.0699999994</v>
      </c>
      <c r="G228" s="41">
        <f>SUM(G214:G227)</f>
        <v>2550207.98</v>
      </c>
      <c r="H228" s="41">
        <f>SUM(H214:H227)</f>
        <v>1261953.3800000001</v>
      </c>
      <c r="I228" s="41">
        <f>SUM(I214:I227)</f>
        <v>164591.14000000001</v>
      </c>
      <c r="J228" s="41">
        <f>SUM(J214:J227)</f>
        <v>48135.429999999993</v>
      </c>
      <c r="K228" s="41">
        <f t="shared" si="3"/>
        <v>12935.09</v>
      </c>
      <c r="L228" s="41">
        <f t="shared" si="3"/>
        <v>8950357.089999998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4630188.1900000004</v>
      </c>
      <c r="G232" s="18">
        <v>2403635.83</v>
      </c>
      <c r="H232" s="18">
        <v>50468.38</v>
      </c>
      <c r="I232" s="18">
        <v>218500.69</v>
      </c>
      <c r="J232" s="18">
        <v>7806.64</v>
      </c>
      <c r="K232" s="18">
        <v>27828.91</v>
      </c>
      <c r="L232" s="19">
        <f>SUM(F232:K232)</f>
        <v>7338428.6400000006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1107717.3600000001</v>
      </c>
      <c r="G233" s="18">
        <v>575041.22</v>
      </c>
      <c r="H233" s="18">
        <v>473787.89</v>
      </c>
      <c r="I233" s="18">
        <v>10470.129999999999</v>
      </c>
      <c r="J233" s="18">
        <v>0</v>
      </c>
      <c r="K233" s="18">
        <v>0</v>
      </c>
      <c r="L233" s="19">
        <f>SUM(F233:K233)</f>
        <v>2167016.6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53551.86</v>
      </c>
      <c r="I234" s="18">
        <v>0</v>
      </c>
      <c r="J234" s="18">
        <v>0</v>
      </c>
      <c r="K234" s="18">
        <v>0</v>
      </c>
      <c r="L234" s="19">
        <f>SUM(F234:K234)</f>
        <v>53551.86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453622.51</v>
      </c>
      <c r="G235" s="18">
        <v>235485.75</v>
      </c>
      <c r="H235" s="18">
        <v>99052.05</v>
      </c>
      <c r="I235" s="18">
        <v>52433.88</v>
      </c>
      <c r="J235" s="18">
        <v>0</v>
      </c>
      <c r="K235" s="18">
        <v>20023.25</v>
      </c>
      <c r="L235" s="19">
        <f>SUM(F235:K235)</f>
        <v>860617.44000000006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385887.23</v>
      </c>
      <c r="G237" s="18">
        <v>200322.83</v>
      </c>
      <c r="H237" s="18">
        <v>563686.40000000002</v>
      </c>
      <c r="I237" s="18">
        <v>12235.22</v>
      </c>
      <c r="J237" s="18">
        <v>0</v>
      </c>
      <c r="K237" s="18">
        <v>0</v>
      </c>
      <c r="L237" s="19">
        <f t="shared" ref="L237:L243" si="4">SUM(F237:K237)</f>
        <v>1162131.68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165353.18</v>
      </c>
      <c r="G238" s="18">
        <v>85838.59</v>
      </c>
      <c r="H238" s="18">
        <v>11370.89</v>
      </c>
      <c r="I238" s="18">
        <v>40726.46</v>
      </c>
      <c r="J238" s="18">
        <v>82742.19</v>
      </c>
      <c r="K238" s="18">
        <v>12112.24</v>
      </c>
      <c r="L238" s="19">
        <f t="shared" si="4"/>
        <v>398143.55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193344.67</v>
      </c>
      <c r="G239" s="18">
        <v>100369.60000000001</v>
      </c>
      <c r="H239" s="18">
        <v>25187.69</v>
      </c>
      <c r="I239" s="18">
        <v>7050.26</v>
      </c>
      <c r="J239" s="18">
        <v>7299.98</v>
      </c>
      <c r="K239" s="18">
        <v>6453.8</v>
      </c>
      <c r="L239" s="19">
        <f t="shared" si="4"/>
        <v>339706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787066.9</v>
      </c>
      <c r="G240" s="18">
        <v>408584.3</v>
      </c>
      <c r="H240" s="18">
        <v>16416.310000000001</v>
      </c>
      <c r="I240" s="18">
        <v>8372.82</v>
      </c>
      <c r="J240" s="18">
        <v>750</v>
      </c>
      <c r="K240" s="18">
        <v>24046.87</v>
      </c>
      <c r="L240" s="19">
        <f t="shared" si="4"/>
        <v>1245237.2000000002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61659.74</v>
      </c>
      <c r="G241" s="18">
        <v>32008.97</v>
      </c>
      <c r="H241" s="18">
        <v>46017.760000000002</v>
      </c>
      <c r="I241" s="18">
        <v>0</v>
      </c>
      <c r="J241" s="18">
        <v>0</v>
      </c>
      <c r="K241" s="18">
        <v>0</v>
      </c>
      <c r="L241" s="19">
        <f t="shared" si="4"/>
        <v>139686.47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330515.55</v>
      </c>
      <c r="G242" s="18">
        <v>171578.13</v>
      </c>
      <c r="H242" s="18">
        <v>221030.25</v>
      </c>
      <c r="I242" s="18">
        <v>465617.68</v>
      </c>
      <c r="J242" s="18">
        <v>0</v>
      </c>
      <c r="K242" s="18">
        <v>265.05</v>
      </c>
      <c r="L242" s="19">
        <f t="shared" si="4"/>
        <v>1189006.6599999999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11011.78</v>
      </c>
      <c r="G243" s="18">
        <v>5716.47</v>
      </c>
      <c r="H243" s="18">
        <v>786144.7</v>
      </c>
      <c r="I243" s="18">
        <v>0</v>
      </c>
      <c r="J243" s="18">
        <v>0</v>
      </c>
      <c r="K243" s="18">
        <v>0</v>
      </c>
      <c r="L243" s="19">
        <f t="shared" si="4"/>
        <v>802872.95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7524.92</v>
      </c>
      <c r="I244" s="18">
        <v>0</v>
      </c>
      <c r="J244" s="18">
        <v>0</v>
      </c>
      <c r="K244" s="18">
        <v>0</v>
      </c>
      <c r="L244" s="19">
        <f>SUM(F244:K244)</f>
        <v>7524.92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8126367.1100000013</v>
      </c>
      <c r="G246" s="41">
        <f t="shared" si="5"/>
        <v>4218581.6899999995</v>
      </c>
      <c r="H246" s="41">
        <f t="shared" si="5"/>
        <v>2354239.0999999996</v>
      </c>
      <c r="I246" s="41">
        <f t="shared" si="5"/>
        <v>815407.14</v>
      </c>
      <c r="J246" s="41">
        <f t="shared" si="5"/>
        <v>98598.81</v>
      </c>
      <c r="K246" s="41">
        <f t="shared" si="5"/>
        <v>90730.12</v>
      </c>
      <c r="L246" s="41">
        <f t="shared" si="5"/>
        <v>15703923.969999999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5993.74</v>
      </c>
      <c r="G250" s="18">
        <v>3111.45</v>
      </c>
      <c r="H250" s="18">
        <v>0</v>
      </c>
      <c r="I250" s="18">
        <v>64.989999999999995</v>
      </c>
      <c r="J250" s="18"/>
      <c r="K250" s="18"/>
      <c r="L250" s="19">
        <f t="shared" si="6"/>
        <v>9170.1799999999985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5993.74</v>
      </c>
      <c r="G255" s="41">
        <f t="shared" si="7"/>
        <v>3111.45</v>
      </c>
      <c r="H255" s="41">
        <f t="shared" si="7"/>
        <v>0</v>
      </c>
      <c r="I255" s="41">
        <f t="shared" si="7"/>
        <v>64.989999999999995</v>
      </c>
      <c r="J255" s="41">
        <f t="shared" si="7"/>
        <v>0</v>
      </c>
      <c r="K255" s="41">
        <f t="shared" si="7"/>
        <v>0</v>
      </c>
      <c r="L255" s="41">
        <f>SUM(F255:K255)</f>
        <v>9170.1799999999985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27673737.599999998</v>
      </c>
      <c r="G256" s="41">
        <f t="shared" si="8"/>
        <v>14366065.539999999</v>
      </c>
      <c r="H256" s="41">
        <f t="shared" si="8"/>
        <v>7227439.2400000002</v>
      </c>
      <c r="I256" s="41">
        <f t="shared" si="8"/>
        <v>2009580.4200000002</v>
      </c>
      <c r="J256" s="41">
        <f t="shared" si="8"/>
        <v>316091.90999999997</v>
      </c>
      <c r="K256" s="41">
        <f t="shared" si="8"/>
        <v>147984.69</v>
      </c>
      <c r="L256" s="41">
        <f t="shared" si="8"/>
        <v>51740899.399999999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3406076.3</v>
      </c>
      <c r="L259" s="19">
        <f>SUM(F259:K259)</f>
        <v>3406076.3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1179278.7</v>
      </c>
      <c r="L260" s="19">
        <f>SUM(F260:K260)</f>
        <v>1179278.7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2429.46</v>
      </c>
      <c r="L262" s="19">
        <f>SUM(F262:K262)</f>
        <v>2429.46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4587784.46</v>
      </c>
      <c r="L269" s="41">
        <f t="shared" si="9"/>
        <v>4587784.46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27673737.599999998</v>
      </c>
      <c r="G270" s="42">
        <f t="shared" si="11"/>
        <v>14366065.539999999</v>
      </c>
      <c r="H270" s="42">
        <f t="shared" si="11"/>
        <v>7227439.2400000002</v>
      </c>
      <c r="I270" s="42">
        <f t="shared" si="11"/>
        <v>2009580.4200000002</v>
      </c>
      <c r="J270" s="42">
        <f t="shared" si="11"/>
        <v>316091.90999999997</v>
      </c>
      <c r="K270" s="42">
        <f t="shared" si="11"/>
        <v>4735769.1500000004</v>
      </c>
      <c r="L270" s="42">
        <f t="shared" si="11"/>
        <v>56328683.859999999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121952.19</v>
      </c>
      <c r="G275" s="18">
        <v>6180.14</v>
      </c>
      <c r="H275" s="18">
        <v>0</v>
      </c>
      <c r="I275" s="18">
        <v>4000.49</v>
      </c>
      <c r="J275" s="18">
        <v>13964.03</v>
      </c>
      <c r="K275" s="18">
        <v>0</v>
      </c>
      <c r="L275" s="19">
        <f>SUM(F275:K275)</f>
        <v>146096.85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259995.93</v>
      </c>
      <c r="G276" s="18">
        <v>0</v>
      </c>
      <c r="H276" s="18">
        <v>114959.92</v>
      </c>
      <c r="I276" s="18">
        <v>446.63</v>
      </c>
      <c r="J276" s="18">
        <v>1406.09</v>
      </c>
      <c r="K276" s="18">
        <v>0</v>
      </c>
      <c r="L276" s="19">
        <f>SUM(F276:K276)</f>
        <v>376808.57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117503.64</v>
      </c>
      <c r="G280" s="18">
        <v>0</v>
      </c>
      <c r="H280" s="18">
        <v>2156</v>
      </c>
      <c r="I280" s="18">
        <v>184.46</v>
      </c>
      <c r="J280" s="18">
        <v>0</v>
      </c>
      <c r="K280" s="18">
        <v>0</v>
      </c>
      <c r="L280" s="19">
        <f t="shared" ref="L280:L286" si="12">SUM(F280:K280)</f>
        <v>119844.1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10741.33</v>
      </c>
      <c r="G281" s="18">
        <v>0</v>
      </c>
      <c r="H281" s="18">
        <v>6832.6</v>
      </c>
      <c r="I281" s="18">
        <v>7.73</v>
      </c>
      <c r="J281" s="18">
        <v>0</v>
      </c>
      <c r="K281" s="18">
        <v>0</v>
      </c>
      <c r="L281" s="19">
        <f t="shared" si="12"/>
        <v>17581.66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4900.51</v>
      </c>
      <c r="G282" s="18">
        <v>374.89</v>
      </c>
      <c r="H282" s="18">
        <v>123.04</v>
      </c>
      <c r="I282" s="18">
        <v>0</v>
      </c>
      <c r="J282" s="18">
        <v>0</v>
      </c>
      <c r="K282" s="18">
        <v>0</v>
      </c>
      <c r="L282" s="19">
        <f t="shared" si="12"/>
        <v>5398.4400000000005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282.47000000000003</v>
      </c>
      <c r="G285" s="18">
        <v>0</v>
      </c>
      <c r="H285" s="18">
        <v>3116.4</v>
      </c>
      <c r="I285" s="18">
        <v>39.35</v>
      </c>
      <c r="J285" s="18">
        <v>0</v>
      </c>
      <c r="K285" s="18">
        <v>0</v>
      </c>
      <c r="L285" s="19">
        <f t="shared" si="12"/>
        <v>3438.22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120.84</v>
      </c>
      <c r="J287" s="18">
        <v>0</v>
      </c>
      <c r="K287" s="18">
        <v>0</v>
      </c>
      <c r="L287" s="19">
        <f>SUM(F287:K287)</f>
        <v>120.84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515376.07</v>
      </c>
      <c r="G289" s="42">
        <f t="shared" si="13"/>
        <v>6555.0300000000007</v>
      </c>
      <c r="H289" s="42">
        <f t="shared" si="13"/>
        <v>127187.95999999999</v>
      </c>
      <c r="I289" s="42">
        <f t="shared" si="13"/>
        <v>4799.5</v>
      </c>
      <c r="J289" s="42">
        <f t="shared" si="13"/>
        <v>15370.12</v>
      </c>
      <c r="K289" s="42">
        <f t="shared" si="13"/>
        <v>0</v>
      </c>
      <c r="L289" s="41">
        <f t="shared" si="13"/>
        <v>669288.67999999993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83394.92</v>
      </c>
      <c r="G295" s="18">
        <v>0</v>
      </c>
      <c r="H295" s="18">
        <v>36873.94</v>
      </c>
      <c r="I295" s="18">
        <v>143.25</v>
      </c>
      <c r="J295" s="18">
        <v>451.01</v>
      </c>
      <c r="K295" s="18">
        <v>0</v>
      </c>
      <c r="L295" s="19">
        <f>SUM(F295:K295)</f>
        <v>120863.12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37689.85</v>
      </c>
      <c r="G299" s="18">
        <v>0</v>
      </c>
      <c r="H299" s="18">
        <v>34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37723.85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3445.33</v>
      </c>
      <c r="G300" s="18">
        <v>0</v>
      </c>
      <c r="H300" s="18">
        <v>1213.8499999999999</v>
      </c>
      <c r="I300" s="18">
        <v>2.48</v>
      </c>
      <c r="J300" s="18">
        <v>0</v>
      </c>
      <c r="K300" s="18">
        <v>0</v>
      </c>
      <c r="L300" s="19">
        <f t="shared" si="14"/>
        <v>4661.66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90.6</v>
      </c>
      <c r="G304" s="18">
        <v>0</v>
      </c>
      <c r="H304" s="18">
        <v>999.6</v>
      </c>
      <c r="I304" s="18">
        <v>12.6</v>
      </c>
      <c r="J304" s="18">
        <v>0</v>
      </c>
      <c r="K304" s="18">
        <v>0</v>
      </c>
      <c r="L304" s="19">
        <f t="shared" si="14"/>
        <v>1102.8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38.76</v>
      </c>
      <c r="J306" s="18">
        <v>0</v>
      </c>
      <c r="K306" s="18">
        <v>0</v>
      </c>
      <c r="L306" s="19">
        <f>SUM(F306:K306)</f>
        <v>38.76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124620.7</v>
      </c>
      <c r="G308" s="42">
        <f t="shared" si="15"/>
        <v>0</v>
      </c>
      <c r="H308" s="42">
        <f t="shared" si="15"/>
        <v>39121.39</v>
      </c>
      <c r="I308" s="42">
        <f t="shared" si="15"/>
        <v>197.08999999999997</v>
      </c>
      <c r="J308" s="42">
        <f t="shared" si="15"/>
        <v>451.01</v>
      </c>
      <c r="K308" s="42">
        <f t="shared" si="15"/>
        <v>0</v>
      </c>
      <c r="L308" s="41">
        <f t="shared" si="15"/>
        <v>164390.19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1500</v>
      </c>
      <c r="J313" s="18">
        <v>0</v>
      </c>
      <c r="K313" s="18">
        <v>0</v>
      </c>
      <c r="L313" s="19">
        <f>SUM(F313:K313)</f>
        <v>1500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147167.51</v>
      </c>
      <c r="G314" s="18">
        <v>0</v>
      </c>
      <c r="H314" s="18">
        <v>65071.65</v>
      </c>
      <c r="I314" s="18">
        <v>252.81</v>
      </c>
      <c r="J314" s="18">
        <v>795.9</v>
      </c>
      <c r="K314" s="18">
        <v>0</v>
      </c>
      <c r="L314" s="19">
        <f>SUM(F314:K314)</f>
        <v>213287.87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66511.490000000005</v>
      </c>
      <c r="G318" s="18">
        <v>0</v>
      </c>
      <c r="H318" s="18">
        <v>60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66571.490000000005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6080</v>
      </c>
      <c r="G319" s="18">
        <v>0</v>
      </c>
      <c r="H319" s="18">
        <v>2142.1</v>
      </c>
      <c r="I319" s="18">
        <v>4.37</v>
      </c>
      <c r="J319" s="18">
        <v>0</v>
      </c>
      <c r="K319" s="18">
        <v>0</v>
      </c>
      <c r="L319" s="19">
        <f t="shared" si="16"/>
        <v>8226.4700000000012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159.88999999999999</v>
      </c>
      <c r="G323" s="18">
        <v>0</v>
      </c>
      <c r="H323" s="18">
        <v>1764</v>
      </c>
      <c r="I323" s="18">
        <v>22.28</v>
      </c>
      <c r="J323" s="18">
        <v>0</v>
      </c>
      <c r="K323" s="18">
        <v>0</v>
      </c>
      <c r="L323" s="19">
        <f t="shared" si="16"/>
        <v>1946.1699999999998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68.400000000000006</v>
      </c>
      <c r="J325" s="18">
        <v>0</v>
      </c>
      <c r="K325" s="18">
        <v>0</v>
      </c>
      <c r="L325" s="19">
        <f>SUM(F325:K325)</f>
        <v>68.400000000000006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219918.89</v>
      </c>
      <c r="G327" s="42">
        <f t="shared" si="17"/>
        <v>0</v>
      </c>
      <c r="H327" s="42">
        <f t="shared" si="17"/>
        <v>69037.75</v>
      </c>
      <c r="I327" s="42">
        <f t="shared" si="17"/>
        <v>1847.86</v>
      </c>
      <c r="J327" s="42">
        <f t="shared" si="17"/>
        <v>795.9</v>
      </c>
      <c r="K327" s="42">
        <f t="shared" si="17"/>
        <v>0</v>
      </c>
      <c r="L327" s="41">
        <f t="shared" si="17"/>
        <v>291600.39999999997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9184.5</v>
      </c>
      <c r="G332" s="18">
        <v>702.61</v>
      </c>
      <c r="H332" s="18">
        <v>0</v>
      </c>
      <c r="I332" s="18">
        <v>112.89</v>
      </c>
      <c r="J332" s="18"/>
      <c r="K332" s="18"/>
      <c r="L332" s="19">
        <f t="shared" si="18"/>
        <v>10000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9184.5</v>
      </c>
      <c r="G336" s="41">
        <f t="shared" si="19"/>
        <v>702.61</v>
      </c>
      <c r="H336" s="41">
        <f t="shared" si="19"/>
        <v>0</v>
      </c>
      <c r="I336" s="41">
        <f t="shared" si="19"/>
        <v>112.89</v>
      </c>
      <c r="J336" s="41">
        <f t="shared" si="19"/>
        <v>0</v>
      </c>
      <c r="K336" s="41">
        <f t="shared" si="19"/>
        <v>0</v>
      </c>
      <c r="L336" s="41">
        <f t="shared" si="18"/>
        <v>10000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869100.16</v>
      </c>
      <c r="G337" s="41">
        <f t="shared" si="20"/>
        <v>7257.64</v>
      </c>
      <c r="H337" s="41">
        <f t="shared" si="20"/>
        <v>235347.09999999998</v>
      </c>
      <c r="I337" s="41">
        <f t="shared" si="20"/>
        <v>6957.34</v>
      </c>
      <c r="J337" s="41">
        <f t="shared" si="20"/>
        <v>16617.030000000002</v>
      </c>
      <c r="K337" s="41">
        <f t="shared" si="20"/>
        <v>0</v>
      </c>
      <c r="L337" s="41">
        <f t="shared" si="20"/>
        <v>1135279.2699999998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869100.16</v>
      </c>
      <c r="G351" s="41">
        <f>G337</f>
        <v>7257.64</v>
      </c>
      <c r="H351" s="41">
        <f>H337</f>
        <v>235347.09999999998</v>
      </c>
      <c r="I351" s="41">
        <f>I337</f>
        <v>6957.34</v>
      </c>
      <c r="J351" s="41">
        <f>J337</f>
        <v>16617.030000000002</v>
      </c>
      <c r="K351" s="47">
        <f>K337+K350</f>
        <v>0</v>
      </c>
      <c r="L351" s="41">
        <f>L337+L350</f>
        <v>1135279.2699999998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223988.68</v>
      </c>
      <c r="G357" s="18">
        <v>55922.79</v>
      </c>
      <c r="H357" s="18">
        <v>19004.7</v>
      </c>
      <c r="I357" s="18">
        <v>403054.01</v>
      </c>
      <c r="J357" s="18">
        <v>27052.42</v>
      </c>
      <c r="K357" s="18">
        <v>952.01</v>
      </c>
      <c r="L357" s="13">
        <f>SUM(F357:K357)</f>
        <v>729974.61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89864.23</v>
      </c>
      <c r="G358" s="18">
        <v>17937.5</v>
      </c>
      <c r="H358" s="18">
        <v>5267.62</v>
      </c>
      <c r="I358" s="18">
        <v>203983</v>
      </c>
      <c r="J358" s="18">
        <v>680.46</v>
      </c>
      <c r="K358" s="18">
        <v>305.36</v>
      </c>
      <c r="L358" s="19">
        <f>SUM(F358:K358)</f>
        <v>318038.17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148472.91</v>
      </c>
      <c r="G359" s="18">
        <v>31654.42</v>
      </c>
      <c r="H359" s="18">
        <v>7154.1</v>
      </c>
      <c r="I359" s="18">
        <v>320833.02</v>
      </c>
      <c r="J359" s="18">
        <v>3193.82</v>
      </c>
      <c r="K359" s="18">
        <v>538.88</v>
      </c>
      <c r="L359" s="19">
        <f>SUM(F359:K359)</f>
        <v>511847.15000000008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462325.81999999995</v>
      </c>
      <c r="G361" s="47">
        <f t="shared" si="22"/>
        <v>105514.71</v>
      </c>
      <c r="H361" s="47">
        <f t="shared" si="22"/>
        <v>31426.42</v>
      </c>
      <c r="I361" s="47">
        <f t="shared" si="22"/>
        <v>927870.03</v>
      </c>
      <c r="J361" s="47">
        <f t="shared" si="22"/>
        <v>30926.699999999997</v>
      </c>
      <c r="K361" s="47">
        <f t="shared" si="22"/>
        <v>1796.25</v>
      </c>
      <c r="L361" s="47">
        <f t="shared" si="22"/>
        <v>1559859.9300000002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364601.78</v>
      </c>
      <c r="G366" s="18">
        <v>183030.31</v>
      </c>
      <c r="H366" s="18">
        <v>305268.96000000002</v>
      </c>
      <c r="I366" s="56">
        <f>SUM(F366:H366)</f>
        <v>852901.05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38452.230000000003</v>
      </c>
      <c r="G367" s="63">
        <v>20952.689999999999</v>
      </c>
      <c r="H367" s="63">
        <v>15564.06</v>
      </c>
      <c r="I367" s="56">
        <f>SUM(F367:H367)</f>
        <v>74968.98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403054.01</v>
      </c>
      <c r="G368" s="47">
        <f>SUM(G366:G367)</f>
        <v>203983</v>
      </c>
      <c r="H368" s="47">
        <f>SUM(H366:H367)</f>
        <v>320833.02</v>
      </c>
      <c r="I368" s="47">
        <f>SUM(I366:I367)</f>
        <v>927870.03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15385.43</v>
      </c>
      <c r="K379" s="18">
        <v>0</v>
      </c>
      <c r="L379" s="13">
        <f t="shared" si="23"/>
        <v>15385.43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15385.43</v>
      </c>
      <c r="K381" s="47">
        <f t="shared" si="24"/>
        <v>0</v>
      </c>
      <c r="L381" s="47">
        <f t="shared" si="24"/>
        <v>15385.43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782.22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782.22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23.55</v>
      </c>
      <c r="I387" s="18">
        <v>0</v>
      </c>
      <c r="J387" s="24" t="s">
        <v>289</v>
      </c>
      <c r="K387" s="24" t="s">
        <v>289</v>
      </c>
      <c r="L387" s="56">
        <f t="shared" si="25"/>
        <v>23.55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805.77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805.77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0</v>
      </c>
      <c r="H395" s="18">
        <v>851.86</v>
      </c>
      <c r="I395" s="18">
        <v>0</v>
      </c>
      <c r="J395" s="24" t="s">
        <v>289</v>
      </c>
      <c r="K395" s="24" t="s">
        <v>289</v>
      </c>
      <c r="L395" s="56">
        <f t="shared" si="26"/>
        <v>851.86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382.78</v>
      </c>
      <c r="I397" s="18">
        <v>0</v>
      </c>
      <c r="J397" s="24" t="s">
        <v>289</v>
      </c>
      <c r="K397" s="24" t="s">
        <v>289</v>
      </c>
      <c r="L397" s="56">
        <f t="shared" si="26"/>
        <v>382.78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1234.6399999999999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1234.6399999999999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2040.4099999999999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2040.4099999999999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676144.19</v>
      </c>
      <c r="G441" s="18">
        <v>154065.35999999999</v>
      </c>
      <c r="H441" s="18">
        <v>0</v>
      </c>
      <c r="I441" s="56">
        <f t="shared" si="33"/>
        <v>830209.54999999993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676144.19</v>
      </c>
      <c r="G445" s="13">
        <f>SUM(G438:G444)</f>
        <v>154065.35999999999</v>
      </c>
      <c r="H445" s="13">
        <f>SUM(H438:H444)</f>
        <v>0</v>
      </c>
      <c r="I445" s="13">
        <f>SUM(I438:I444)</f>
        <v>830209.54999999993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676144.19</v>
      </c>
      <c r="G458" s="18">
        <v>154065.35999999999</v>
      </c>
      <c r="H458" s="18"/>
      <c r="I458" s="56">
        <f t="shared" si="34"/>
        <v>830209.54999999993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676144.19</v>
      </c>
      <c r="G459" s="83">
        <f>SUM(G453:G458)</f>
        <v>154065.35999999999</v>
      </c>
      <c r="H459" s="83">
        <f>SUM(H453:H458)</f>
        <v>0</v>
      </c>
      <c r="I459" s="83">
        <f>SUM(I453:I458)</f>
        <v>830209.54999999993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676144.19</v>
      </c>
      <c r="G460" s="42">
        <f>G451+G459</f>
        <v>154065.35999999999</v>
      </c>
      <c r="H460" s="42">
        <f>H451+H459</f>
        <v>0</v>
      </c>
      <c r="I460" s="42">
        <f>I451+I459</f>
        <v>830209.54999999993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2421921.21</v>
      </c>
      <c r="G464" s="18">
        <v>237577.41</v>
      </c>
      <c r="H464" s="18">
        <v>0</v>
      </c>
      <c r="I464" s="18">
        <v>273152.92</v>
      </c>
      <c r="J464" s="18">
        <v>828169.14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56531639.149999991</v>
      </c>
      <c r="G467" s="18">
        <f>G192</f>
        <v>1587120.58</v>
      </c>
      <c r="H467" s="18">
        <f>H192</f>
        <v>1135279.27</v>
      </c>
      <c r="I467" s="18">
        <f>I192</f>
        <v>0</v>
      </c>
      <c r="J467" s="18">
        <f>L407</f>
        <v>2040.4099999999999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56531639.149999991</v>
      </c>
      <c r="G469" s="53">
        <f>SUM(G467:G468)</f>
        <v>1587120.58</v>
      </c>
      <c r="H469" s="53">
        <f>SUM(H467:H468)</f>
        <v>1135279.27</v>
      </c>
      <c r="I469" s="53">
        <f>SUM(I467:I468)</f>
        <v>0</v>
      </c>
      <c r="J469" s="53">
        <f>SUM(J467:J468)</f>
        <v>2040.4099999999999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56328683.859999999</v>
      </c>
      <c r="G471" s="18">
        <f>L361</f>
        <v>1559859.9300000002</v>
      </c>
      <c r="H471" s="18">
        <f>L337</f>
        <v>1135279.2699999998</v>
      </c>
      <c r="I471" s="18">
        <f>L381</f>
        <v>15385.43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56328683.859999999</v>
      </c>
      <c r="G473" s="53">
        <f>SUM(G471:G472)</f>
        <v>1559859.9300000002</v>
      </c>
      <c r="H473" s="53">
        <f>SUM(H471:H472)</f>
        <v>1135279.2699999998</v>
      </c>
      <c r="I473" s="53">
        <f>SUM(I471:I472)</f>
        <v>15385.43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2624876.4999999925</v>
      </c>
      <c r="G475" s="53">
        <f>(G464+G469)- G473</f>
        <v>264838.05999999982</v>
      </c>
      <c r="H475" s="53">
        <f>(H464+H469)- H473</f>
        <v>0</v>
      </c>
      <c r="I475" s="53">
        <f>(I464+I469)- I473</f>
        <v>257767.49</v>
      </c>
      <c r="J475" s="53">
        <f>(J464+J469)- J473</f>
        <v>830209.55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10</v>
      </c>
      <c r="H489" s="154">
        <v>24</v>
      </c>
      <c r="I489" s="154">
        <v>20</v>
      </c>
      <c r="J489" s="154">
        <v>10</v>
      </c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155" t="s">
        <v>918</v>
      </c>
      <c r="I490" s="155" t="s">
        <v>919</v>
      </c>
      <c r="J490" s="155" t="s">
        <v>912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913</v>
      </c>
      <c r="G491" s="155" t="s">
        <v>914</v>
      </c>
      <c r="H491" s="155" t="s">
        <v>915</v>
      </c>
      <c r="I491" s="155" t="s">
        <v>916</v>
      </c>
      <c r="J491" s="155" t="s">
        <v>917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3935000</v>
      </c>
      <c r="G492" s="18">
        <v>3181000</v>
      </c>
      <c r="H492" s="18">
        <v>47505000</v>
      </c>
      <c r="I492" s="18">
        <v>800000</v>
      </c>
      <c r="J492" s="18">
        <v>2681350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3.34</v>
      </c>
      <c r="G493" s="18">
        <v>3.37</v>
      </c>
      <c r="H493" s="18">
        <v>4.34</v>
      </c>
      <c r="I493" s="18">
        <v>4.5199999999999996</v>
      </c>
      <c r="J493" s="18">
        <v>4.28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2720000</v>
      </c>
      <c r="G494" s="18">
        <v>320000</v>
      </c>
      <c r="H494" s="18">
        <v>29523811</v>
      </c>
      <c r="I494" s="18">
        <v>600000</v>
      </c>
      <c r="J494" s="18">
        <v>1605000</v>
      </c>
      <c r="K494" s="53">
        <f>SUM(F494:J494)</f>
        <v>34768811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395000</v>
      </c>
      <c r="G496" s="18">
        <v>320000</v>
      </c>
      <c r="H496" s="18">
        <v>2381076</v>
      </c>
      <c r="I496" s="18">
        <v>40000</v>
      </c>
      <c r="J496" s="18">
        <v>270000</v>
      </c>
      <c r="K496" s="53">
        <f t="shared" si="35"/>
        <v>3406076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2325000</v>
      </c>
      <c r="G497" s="204">
        <v>0</v>
      </c>
      <c r="H497" s="204">
        <v>27142735</v>
      </c>
      <c r="I497" s="204">
        <v>560000</v>
      </c>
      <c r="J497" s="204">
        <v>1335000</v>
      </c>
      <c r="K497" s="205">
        <f t="shared" si="35"/>
        <v>31362735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313094</v>
      </c>
      <c r="G498" s="18">
        <v>0</v>
      </c>
      <c r="H498" s="18">
        <v>29699462</v>
      </c>
      <c r="I498" s="18">
        <v>177715</v>
      </c>
      <c r="J498" s="18">
        <v>162074</v>
      </c>
      <c r="K498" s="53">
        <f t="shared" si="35"/>
        <v>30352345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2638094</v>
      </c>
      <c r="G499" s="42">
        <f>SUM(G497:G498)</f>
        <v>0</v>
      </c>
      <c r="H499" s="42">
        <f>SUM(H497:H498)</f>
        <v>56842197</v>
      </c>
      <c r="I499" s="42">
        <f>SUM(I497:I498)</f>
        <v>737715</v>
      </c>
      <c r="J499" s="42">
        <f>SUM(J497:J498)</f>
        <v>1497074</v>
      </c>
      <c r="K499" s="42">
        <f t="shared" si="35"/>
        <v>61715080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390000</v>
      </c>
      <c r="G500" s="204">
        <v>0</v>
      </c>
      <c r="H500" s="204">
        <v>2271068</v>
      </c>
      <c r="I500" s="204">
        <v>40000</v>
      </c>
      <c r="J500" s="204">
        <v>270000</v>
      </c>
      <c r="K500" s="205">
        <f t="shared" si="35"/>
        <v>2971068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99438</v>
      </c>
      <c r="G501" s="18">
        <v>0</v>
      </c>
      <c r="H501" s="18">
        <v>1073391</v>
      </c>
      <c r="I501" s="18">
        <v>24230</v>
      </c>
      <c r="J501" s="18">
        <v>56963</v>
      </c>
      <c r="K501" s="53">
        <f t="shared" si="35"/>
        <v>1254022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489438</v>
      </c>
      <c r="G502" s="42">
        <f>SUM(G500:G501)</f>
        <v>0</v>
      </c>
      <c r="H502" s="42">
        <f>SUM(H500:H501)</f>
        <v>3344459</v>
      </c>
      <c r="I502" s="42">
        <f>SUM(I500:I501)</f>
        <v>64230</v>
      </c>
      <c r="J502" s="42">
        <f>SUM(J500:J501)</f>
        <v>326963</v>
      </c>
      <c r="K502" s="42">
        <f t="shared" si="35"/>
        <v>4225090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3134307.38</v>
      </c>
      <c r="G520" s="18">
        <v>1627090.13</v>
      </c>
      <c r="H520" s="18">
        <v>201688.58</v>
      </c>
      <c r="I520" s="18">
        <v>17418.689999999999</v>
      </c>
      <c r="J520" s="18">
        <v>1057.3499999999999</v>
      </c>
      <c r="K520" s="18">
        <v>0</v>
      </c>
      <c r="L520" s="88">
        <f>SUM(F520:K520)</f>
        <v>4981562.13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778285.35</v>
      </c>
      <c r="G521" s="18">
        <v>373388.27</v>
      </c>
      <c r="H521" s="18">
        <v>245930.65</v>
      </c>
      <c r="I521" s="18">
        <v>5234.71</v>
      </c>
      <c r="J521" s="18">
        <v>339.15</v>
      </c>
      <c r="K521" s="18">
        <v>0</v>
      </c>
      <c r="L521" s="88">
        <f>SUM(F521:K521)</f>
        <v>1403178.13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1252568.8</v>
      </c>
      <c r="G522" s="18">
        <v>575041.22</v>
      </c>
      <c r="H522" s="18">
        <v>538859.54</v>
      </c>
      <c r="I522" s="18">
        <v>11584.65</v>
      </c>
      <c r="J522" s="18">
        <v>598.5</v>
      </c>
      <c r="K522" s="18">
        <v>0</v>
      </c>
      <c r="L522" s="88">
        <f>SUM(F522:K522)</f>
        <v>2378652.71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5165161.53</v>
      </c>
      <c r="G523" s="108">
        <f t="shared" ref="G523:L523" si="36">SUM(G520:G522)</f>
        <v>2575519.62</v>
      </c>
      <c r="H523" s="108">
        <f t="shared" si="36"/>
        <v>986478.77</v>
      </c>
      <c r="I523" s="108">
        <f t="shared" si="36"/>
        <v>34238.049999999996</v>
      </c>
      <c r="J523" s="108">
        <f t="shared" si="36"/>
        <v>1995</v>
      </c>
      <c r="K523" s="108">
        <f t="shared" si="36"/>
        <v>0</v>
      </c>
      <c r="L523" s="89">
        <f t="shared" si="36"/>
        <v>8763392.9699999988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522829.64</v>
      </c>
      <c r="G525" s="18">
        <v>271412.75</v>
      </c>
      <c r="H525" s="18">
        <v>1065168.4099999999</v>
      </c>
      <c r="I525" s="18">
        <v>7468.67</v>
      </c>
      <c r="J525" s="18">
        <v>0</v>
      </c>
      <c r="K525" s="18">
        <v>0</v>
      </c>
      <c r="L525" s="88">
        <f>SUM(F525:K525)</f>
        <v>1866879.4699999997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125731.98</v>
      </c>
      <c r="G526" s="18">
        <v>65270.33</v>
      </c>
      <c r="H526" s="18">
        <v>355207.1</v>
      </c>
      <c r="I526" s="18">
        <v>1994.97</v>
      </c>
      <c r="J526" s="18">
        <v>0</v>
      </c>
      <c r="K526" s="18">
        <v>0</v>
      </c>
      <c r="L526" s="88">
        <f>SUM(F526:K526)</f>
        <v>548204.37999999989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83378.52</v>
      </c>
      <c r="G527" s="18">
        <v>43283.68</v>
      </c>
      <c r="H527" s="18">
        <v>503035.79</v>
      </c>
      <c r="I527" s="18">
        <v>3520.53</v>
      </c>
      <c r="J527" s="18">
        <v>0</v>
      </c>
      <c r="K527" s="18">
        <v>0</v>
      </c>
      <c r="L527" s="88">
        <f>SUM(F527:K527)</f>
        <v>633218.52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731940.14</v>
      </c>
      <c r="G528" s="89">
        <f t="shared" ref="G528:L528" si="37">SUM(G525:G527)</f>
        <v>379966.76</v>
      </c>
      <c r="H528" s="89">
        <f t="shared" si="37"/>
        <v>1923411.2999999998</v>
      </c>
      <c r="I528" s="89">
        <f t="shared" si="37"/>
        <v>12984.17</v>
      </c>
      <c r="J528" s="89">
        <f t="shared" si="37"/>
        <v>0</v>
      </c>
      <c r="K528" s="89">
        <f t="shared" si="37"/>
        <v>0</v>
      </c>
      <c r="L528" s="89">
        <f t="shared" si="37"/>
        <v>3048302.3699999996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81319.33</v>
      </c>
      <c r="G530" s="18">
        <v>42214.71</v>
      </c>
      <c r="H530" s="18">
        <v>2086.16</v>
      </c>
      <c r="I530" s="18">
        <v>648.16</v>
      </c>
      <c r="J530" s="18">
        <v>12896.64</v>
      </c>
      <c r="K530" s="18">
        <v>1355.57</v>
      </c>
      <c r="L530" s="88">
        <f>SUM(F530:K530)</f>
        <v>140520.57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26083.56</v>
      </c>
      <c r="G531" s="18">
        <v>13540.57</v>
      </c>
      <c r="H531" s="18">
        <v>669.15</v>
      </c>
      <c r="I531" s="18">
        <v>207.9</v>
      </c>
      <c r="J531" s="18">
        <v>4136.66</v>
      </c>
      <c r="K531" s="18">
        <v>434.81</v>
      </c>
      <c r="L531" s="88">
        <f>SUM(F531:K531)</f>
        <v>45072.650000000009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62499.81</v>
      </c>
      <c r="G532" s="18">
        <v>32445.07</v>
      </c>
      <c r="H532" s="18">
        <v>1180.8399999999999</v>
      </c>
      <c r="I532" s="18">
        <v>366.89</v>
      </c>
      <c r="J532" s="18">
        <v>7299.98</v>
      </c>
      <c r="K532" s="18">
        <v>767.29</v>
      </c>
      <c r="L532" s="88">
        <f>SUM(F532:K532)</f>
        <v>104559.87999999999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169902.7</v>
      </c>
      <c r="G533" s="89">
        <f t="shared" ref="G533:L533" si="38">SUM(G530:G532)</f>
        <v>88200.35</v>
      </c>
      <c r="H533" s="89">
        <f t="shared" si="38"/>
        <v>3936.1499999999996</v>
      </c>
      <c r="I533" s="89">
        <f t="shared" si="38"/>
        <v>1222.9499999999998</v>
      </c>
      <c r="J533" s="89">
        <f t="shared" si="38"/>
        <v>24333.279999999999</v>
      </c>
      <c r="K533" s="89">
        <f t="shared" si="38"/>
        <v>2557.67</v>
      </c>
      <c r="L533" s="89">
        <f t="shared" si="38"/>
        <v>290153.10000000003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17461.189999999999</v>
      </c>
      <c r="I535" s="18">
        <v>0</v>
      </c>
      <c r="J535" s="18">
        <v>0</v>
      </c>
      <c r="K535" s="18">
        <v>0</v>
      </c>
      <c r="L535" s="88">
        <f>SUM(F535:K535)</f>
        <v>17461.189999999999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5600.75</v>
      </c>
      <c r="I536" s="18">
        <v>0</v>
      </c>
      <c r="J536" s="18">
        <v>0</v>
      </c>
      <c r="K536" s="18">
        <v>0</v>
      </c>
      <c r="L536" s="88">
        <f>SUM(F536:K536)</f>
        <v>5600.75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9883.69</v>
      </c>
      <c r="I537" s="18">
        <v>0</v>
      </c>
      <c r="J537" s="18">
        <v>0</v>
      </c>
      <c r="K537" s="18">
        <v>0</v>
      </c>
      <c r="L537" s="88">
        <f>SUM(F537:K537)</f>
        <v>9883.69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32945.629999999997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32945.629999999997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5826.25</v>
      </c>
      <c r="G540" s="18">
        <v>3029.73</v>
      </c>
      <c r="H540" s="18">
        <v>371246.44</v>
      </c>
      <c r="I540" s="18">
        <v>0</v>
      </c>
      <c r="J540" s="18">
        <v>0</v>
      </c>
      <c r="K540" s="18">
        <v>0</v>
      </c>
      <c r="L540" s="88">
        <f>SUM(F540:K540)</f>
        <v>380102.42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1872.01</v>
      </c>
      <c r="G541" s="18">
        <v>971.8</v>
      </c>
      <c r="H541" s="18">
        <v>119079.05</v>
      </c>
      <c r="I541" s="18">
        <v>0</v>
      </c>
      <c r="J541" s="18">
        <v>0</v>
      </c>
      <c r="K541" s="18">
        <v>0</v>
      </c>
      <c r="L541" s="88">
        <f>SUM(F541:K541)</f>
        <v>121922.86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3303.53</v>
      </c>
      <c r="G542" s="18">
        <v>1714.94</v>
      </c>
      <c r="H542" s="18">
        <v>210139.49</v>
      </c>
      <c r="I542" s="18">
        <v>0</v>
      </c>
      <c r="J542" s="18">
        <v>0</v>
      </c>
      <c r="K542" s="18">
        <v>0</v>
      </c>
      <c r="L542" s="88">
        <f>SUM(F542:K542)</f>
        <v>215157.96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11001.79</v>
      </c>
      <c r="G543" s="193">
        <f t="shared" ref="G543:L543" si="40">SUM(G540:G542)</f>
        <v>5716.4699999999993</v>
      </c>
      <c r="H543" s="193">
        <f t="shared" si="40"/>
        <v>700464.98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717183.24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6078006.1600000001</v>
      </c>
      <c r="G544" s="89">
        <f t="shared" ref="G544:L544" si="41">G523+G528+G533+G538+G543</f>
        <v>3049403.2</v>
      </c>
      <c r="H544" s="89">
        <f t="shared" si="41"/>
        <v>3647236.8299999996</v>
      </c>
      <c r="I544" s="89">
        <f t="shared" si="41"/>
        <v>48445.169999999991</v>
      </c>
      <c r="J544" s="89">
        <f t="shared" si="41"/>
        <v>26328.28</v>
      </c>
      <c r="K544" s="89">
        <f t="shared" si="41"/>
        <v>2557.67</v>
      </c>
      <c r="L544" s="89">
        <f t="shared" si="41"/>
        <v>12851977.309999999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4981562.13</v>
      </c>
      <c r="G548" s="87">
        <f>L525</f>
        <v>1866879.4699999997</v>
      </c>
      <c r="H548" s="87">
        <f>L530</f>
        <v>140520.57</v>
      </c>
      <c r="I548" s="87">
        <f>L535</f>
        <v>17461.189999999999</v>
      </c>
      <c r="J548" s="87">
        <f>L540</f>
        <v>380102.42</v>
      </c>
      <c r="K548" s="87">
        <f>SUM(F548:J548)</f>
        <v>7386525.7800000003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1403178.13</v>
      </c>
      <c r="G549" s="87">
        <f>L526</f>
        <v>548204.37999999989</v>
      </c>
      <c r="H549" s="87">
        <f>L531</f>
        <v>45072.650000000009</v>
      </c>
      <c r="I549" s="87">
        <f>L536</f>
        <v>5600.75</v>
      </c>
      <c r="J549" s="87">
        <f>L541</f>
        <v>121922.86</v>
      </c>
      <c r="K549" s="87">
        <f>SUM(F549:J549)</f>
        <v>2123978.7699999996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2378652.71</v>
      </c>
      <c r="G550" s="87">
        <f>L527</f>
        <v>633218.52</v>
      </c>
      <c r="H550" s="87">
        <f>L532</f>
        <v>104559.87999999999</v>
      </c>
      <c r="I550" s="87">
        <f>L537</f>
        <v>9883.69</v>
      </c>
      <c r="J550" s="87">
        <f>L542</f>
        <v>215157.96</v>
      </c>
      <c r="K550" s="87">
        <f>SUM(F550:J550)</f>
        <v>3341472.76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8763392.9699999988</v>
      </c>
      <c r="G551" s="89">
        <f t="shared" si="42"/>
        <v>3048302.3699999996</v>
      </c>
      <c r="H551" s="89">
        <f t="shared" si="42"/>
        <v>290153.10000000003</v>
      </c>
      <c r="I551" s="89">
        <f t="shared" si="42"/>
        <v>32945.629999999997</v>
      </c>
      <c r="J551" s="89">
        <f t="shared" si="42"/>
        <v>717183.24</v>
      </c>
      <c r="K551" s="89">
        <f t="shared" si="42"/>
        <v>12851977.310000001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51383.73</v>
      </c>
      <c r="G561" s="18">
        <v>26674.46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78058.19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1312.44</v>
      </c>
      <c r="G562" s="18">
        <v>681.32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1993.7600000000002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2316.0700000000002</v>
      </c>
      <c r="G563" s="18">
        <v>1202.32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3518.3900000000003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55012.240000000005</v>
      </c>
      <c r="G564" s="89">
        <f t="shared" si="44"/>
        <v>28558.1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83570.34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250939.53</v>
      </c>
      <c r="G566" s="18">
        <v>130268.42</v>
      </c>
      <c r="H566" s="18">
        <v>0</v>
      </c>
      <c r="I566" s="18">
        <v>11517.18</v>
      </c>
      <c r="J566" s="18">
        <v>0</v>
      </c>
      <c r="K566" s="18">
        <v>0</v>
      </c>
      <c r="L566" s="88">
        <f>SUM(F566:K566)</f>
        <v>392725.13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23064.98</v>
      </c>
      <c r="G567" s="18">
        <v>11973.55</v>
      </c>
      <c r="H567" s="18">
        <v>0</v>
      </c>
      <c r="I567" s="18">
        <v>2191.61</v>
      </c>
      <c r="J567" s="18">
        <v>0</v>
      </c>
      <c r="K567" s="18">
        <v>0</v>
      </c>
      <c r="L567" s="88">
        <f>SUM(F567:K567)</f>
        <v>37230.14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274004.51</v>
      </c>
      <c r="G569" s="193">
        <f t="shared" ref="G569:L569" si="45">SUM(G566:G568)</f>
        <v>142241.97</v>
      </c>
      <c r="H569" s="193">
        <f t="shared" si="45"/>
        <v>0</v>
      </c>
      <c r="I569" s="193">
        <f t="shared" si="45"/>
        <v>13708.79</v>
      </c>
      <c r="J569" s="193">
        <f t="shared" si="45"/>
        <v>0</v>
      </c>
      <c r="K569" s="193">
        <f t="shared" si="45"/>
        <v>0</v>
      </c>
      <c r="L569" s="193">
        <f t="shared" si="45"/>
        <v>429955.27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329016.75</v>
      </c>
      <c r="G570" s="89">
        <f t="shared" ref="G570:L570" si="46">G559+G564+G569</f>
        <v>170800.07</v>
      </c>
      <c r="H570" s="89">
        <f t="shared" si="46"/>
        <v>0</v>
      </c>
      <c r="I570" s="89">
        <f t="shared" si="46"/>
        <v>13708.79</v>
      </c>
      <c r="J570" s="89">
        <f t="shared" si="46"/>
        <v>0</v>
      </c>
      <c r="K570" s="89">
        <f t="shared" si="46"/>
        <v>0</v>
      </c>
      <c r="L570" s="89">
        <f t="shared" si="46"/>
        <v>513525.61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66862.899999999994</v>
      </c>
      <c r="G578" s="18">
        <v>0</v>
      </c>
      <c r="H578" s="18">
        <v>14677.95</v>
      </c>
      <c r="I578" s="87">
        <f t="shared" si="47"/>
        <v>81540.849999999991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56036.46</v>
      </c>
      <c r="G581" s="18">
        <v>209056.71</v>
      </c>
      <c r="H581" s="18">
        <v>258055.83</v>
      </c>
      <c r="I581" s="87">
        <f t="shared" si="47"/>
        <v>523149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36457.199999999997</v>
      </c>
      <c r="G582" s="18">
        <v>221280.2</v>
      </c>
      <c r="H582" s="18">
        <v>200896.61</v>
      </c>
      <c r="I582" s="87">
        <f t="shared" si="47"/>
        <v>458634.01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53551.86</v>
      </c>
      <c r="I583" s="87">
        <f t="shared" si="47"/>
        <v>53551.86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884758.64</v>
      </c>
      <c r="I590" s="18">
        <v>284540.78000000003</v>
      </c>
      <c r="J590" s="18">
        <v>457223.76</v>
      </c>
      <c r="K590" s="104">
        <f t="shared" ref="K590:K596" si="48">SUM(H590:J590)</f>
        <v>1626523.18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382451.49</v>
      </c>
      <c r="I591" s="18">
        <v>121922.86</v>
      </c>
      <c r="J591" s="18">
        <v>215157.96</v>
      </c>
      <c r="K591" s="104">
        <f t="shared" si="48"/>
        <v>719532.30999999994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44907</v>
      </c>
      <c r="K592" s="104">
        <f t="shared" si="48"/>
        <v>44907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9972.5400000000009</v>
      </c>
      <c r="J593" s="18">
        <v>78186.23</v>
      </c>
      <c r="K593" s="104">
        <f t="shared" si="48"/>
        <v>88158.76999999999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4500</v>
      </c>
      <c r="J594" s="18">
        <v>7398</v>
      </c>
      <c r="K594" s="104">
        <f t="shared" si="48"/>
        <v>11898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1267210.1299999999</v>
      </c>
      <c r="I597" s="108">
        <f>SUM(I590:I596)</f>
        <v>420936.18</v>
      </c>
      <c r="J597" s="108">
        <f>SUM(J590:J596)</f>
        <v>802872.95</v>
      </c>
      <c r="K597" s="108">
        <f>SUM(K590:K596)</f>
        <v>2491019.2599999998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177823.5</v>
      </c>
      <c r="I603" s="18">
        <v>51083.74</v>
      </c>
      <c r="J603" s="18">
        <v>103801.7</v>
      </c>
      <c r="K603" s="104">
        <f>SUM(H603:J603)</f>
        <v>332708.94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177823.5</v>
      </c>
      <c r="I604" s="108">
        <f>SUM(I601:I603)</f>
        <v>51083.74</v>
      </c>
      <c r="J604" s="108">
        <f>SUM(J601:J603)</f>
        <v>103801.7</v>
      </c>
      <c r="K604" s="108">
        <f>SUM(K601:K603)</f>
        <v>332708.94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0</v>
      </c>
      <c r="G610" s="18">
        <v>0</v>
      </c>
      <c r="H610" s="18">
        <v>0</v>
      </c>
      <c r="I610" s="18">
        <v>0</v>
      </c>
      <c r="J610" s="18">
        <v>0</v>
      </c>
      <c r="K610" s="18">
        <v>0</v>
      </c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5188.6400000000003</v>
      </c>
      <c r="G611" s="18">
        <v>2693.54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7882.18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67210.77</v>
      </c>
      <c r="G612" s="18">
        <v>34890.639999999999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102101.41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72399.41</v>
      </c>
      <c r="G613" s="108">
        <f t="shared" si="49"/>
        <v>37584.18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109983.59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5982301.9100000001</v>
      </c>
      <c r="H616" s="109">
        <f>SUM(F51)</f>
        <v>5982301.9100000001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334939.14</v>
      </c>
      <c r="H617" s="109">
        <f>SUM(G51)</f>
        <v>334939.14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762645.23</v>
      </c>
      <c r="H618" s="109">
        <f>SUM(H51)</f>
        <v>762645.2300000001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257767.49</v>
      </c>
      <c r="H619" s="109">
        <f>SUM(I51)</f>
        <v>257767.49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830209.54999999993</v>
      </c>
      <c r="H620" s="109">
        <f>SUM(J51)</f>
        <v>830209.54999999993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2624876.5</v>
      </c>
      <c r="H621" s="109">
        <f>F475</f>
        <v>2624876.4999999925</v>
      </c>
      <c r="I621" s="121" t="s">
        <v>101</v>
      </c>
      <c r="J621" s="109">
        <f t="shared" ref="J621:J654" si="50">G621-H621</f>
        <v>7.4505805969238281E-9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264838.06</v>
      </c>
      <c r="H622" s="109">
        <f>G475</f>
        <v>264838.05999999982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257767.49</v>
      </c>
      <c r="H624" s="109">
        <f>I475</f>
        <v>257767.49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830209.54999999993</v>
      </c>
      <c r="H625" s="109">
        <f>J475</f>
        <v>830209.55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56531639.149999991</v>
      </c>
      <c r="H626" s="104">
        <f>SUM(F467)</f>
        <v>56531639.149999991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1587120.58</v>
      </c>
      <c r="H627" s="104">
        <f>SUM(G467)</f>
        <v>1587120.58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1135279.27</v>
      </c>
      <c r="H628" s="104">
        <f>SUM(H467)</f>
        <v>1135279.27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2040.41</v>
      </c>
      <c r="H630" s="104">
        <f>SUM(J467)</f>
        <v>2040.4099999999999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56328683.859999999</v>
      </c>
      <c r="H631" s="104">
        <f>SUM(F471)</f>
        <v>56328683.859999999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1135279.2699999998</v>
      </c>
      <c r="H632" s="104">
        <f>SUM(H471)</f>
        <v>1135279.2699999998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927870.03</v>
      </c>
      <c r="H633" s="104">
        <f>I368</f>
        <v>927870.03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1559859.9300000002</v>
      </c>
      <c r="H634" s="104">
        <f>SUM(G471)</f>
        <v>1559859.9300000002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15385.43</v>
      </c>
      <c r="H635" s="104">
        <f>SUM(I471)</f>
        <v>15385.43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2040.4099999999999</v>
      </c>
      <c r="H636" s="164">
        <f>SUM(J467)</f>
        <v>2040.4099999999999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676144.19</v>
      </c>
      <c r="H638" s="104">
        <f>SUM(F460)</f>
        <v>676144.19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154065.35999999999</v>
      </c>
      <c r="H639" s="104">
        <f>SUM(G460)</f>
        <v>154065.35999999999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830209.54999999993</v>
      </c>
      <c r="H641" s="104">
        <f>SUM(I460)</f>
        <v>830209.54999999993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2040.41</v>
      </c>
      <c r="H643" s="104">
        <f>H407</f>
        <v>2040.4099999999999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2040.41</v>
      </c>
      <c r="H645" s="104">
        <f>L407</f>
        <v>2040.4099999999999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2491019.2599999998</v>
      </c>
      <c r="H646" s="104">
        <f>L207+L225+L243</f>
        <v>2491019.2599999998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332708.94</v>
      </c>
      <c r="H647" s="104">
        <f>(J256+J337)-(J254+J335)</f>
        <v>332708.94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1267210.1300000001</v>
      </c>
      <c r="H648" s="104">
        <f>H597</f>
        <v>1267210.1299999999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420936.18</v>
      </c>
      <c r="H649" s="104">
        <f>I597</f>
        <v>420936.18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802872.95</v>
      </c>
      <c r="H650" s="104">
        <f>J597</f>
        <v>802872.95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2429.46</v>
      </c>
      <c r="H651" s="104">
        <f>K262+K344</f>
        <v>2429.46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28476711.450000003</v>
      </c>
      <c r="G659" s="19">
        <f>(L228+L308+L358)</f>
        <v>9432785.4499999974</v>
      </c>
      <c r="H659" s="19">
        <f>(L246+L327+L359)</f>
        <v>16507371.52</v>
      </c>
      <c r="I659" s="19">
        <f>SUM(F659:H659)</f>
        <v>54416868.420000002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643930.22365985496</v>
      </c>
      <c r="G660" s="19">
        <f>(L358/IF(SUM(L357:L359)=0,1,SUM(L357:L359))*(SUM(G96:G109)))</f>
        <v>280550.01795263943</v>
      </c>
      <c r="H660" s="19">
        <f>(L359/IF(SUM(L357:L359)=0,1,SUM(L357:L359))*(SUM(G96:G109)))</f>
        <v>451514.12838750565</v>
      </c>
      <c r="I660" s="19">
        <f>SUM(F660:H660)</f>
        <v>1375994.37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1267210.1300000001</v>
      </c>
      <c r="G661" s="19">
        <f>(L225+L305)-(J225+J305)</f>
        <v>420936.18</v>
      </c>
      <c r="H661" s="19">
        <f>(L243+L324)-(J243+J324)</f>
        <v>802872.95</v>
      </c>
      <c r="I661" s="19">
        <f>SUM(F661:H661)</f>
        <v>2491019.2599999998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337180.06</v>
      </c>
      <c r="G662" s="199">
        <f>SUM(G574:G586)+SUM(I601:I603)+L611</f>
        <v>489302.83</v>
      </c>
      <c r="H662" s="199">
        <f>SUM(H574:H586)+SUM(J601:J603)+L612</f>
        <v>733085.36</v>
      </c>
      <c r="I662" s="19">
        <f>SUM(F662:H662)</f>
        <v>1559568.25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26228391.036340147</v>
      </c>
      <c r="G663" s="19">
        <f>G659-SUM(G660:G662)</f>
        <v>8241996.422047358</v>
      </c>
      <c r="H663" s="19">
        <f>H659-SUM(H660:H662)</f>
        <v>14519899.081612494</v>
      </c>
      <c r="I663" s="19">
        <f>I659-SUM(I660:I662)</f>
        <v>48990286.539999999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2177.56</v>
      </c>
      <c r="G664" s="248">
        <v>765.2</v>
      </c>
      <c r="H664" s="248">
        <v>1327.17</v>
      </c>
      <c r="I664" s="19">
        <f>SUM(F664:H664)</f>
        <v>4269.93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12044.85</v>
      </c>
      <c r="G666" s="19">
        <f>ROUND(G663/G664,2)</f>
        <v>10771.04</v>
      </c>
      <c r="H666" s="19">
        <f>ROUND(H663/H664,2)</f>
        <v>10940.5</v>
      </c>
      <c r="I666" s="19">
        <f>ROUND(I663/I664,2)</f>
        <v>11473.32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-24.6</v>
      </c>
      <c r="I669" s="19">
        <f>SUM(F669:H669)</f>
        <v>-24.6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12044.85</v>
      </c>
      <c r="G671" s="19">
        <f>ROUND((G663+G668)/(G664+G669),2)</f>
        <v>10771.04</v>
      </c>
      <c r="H671" s="19">
        <f>ROUND((H663+H668)/(H664+H669),2)</f>
        <v>11147.12</v>
      </c>
      <c r="I671" s="19">
        <f>ROUND((I663+I668)/(I664+I669),2)</f>
        <v>11539.81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5" workbookViewId="0">
      <selection activeCell="C47" sqref="C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Beford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15743215.310000001</v>
      </c>
      <c r="C9" s="229">
        <f>'DOE25'!G196+'DOE25'!G214+'DOE25'!G232+'DOE25'!G275+'DOE25'!G294+'DOE25'!G313</f>
        <v>8115532.54</v>
      </c>
    </row>
    <row r="10" spans="1:3" x14ac:dyDescent="0.2">
      <c r="A10" t="s">
        <v>779</v>
      </c>
      <c r="B10" s="240">
        <v>14217437.6</v>
      </c>
      <c r="C10" s="240">
        <v>7303979.29</v>
      </c>
    </row>
    <row r="11" spans="1:3" x14ac:dyDescent="0.2">
      <c r="A11" t="s">
        <v>780</v>
      </c>
      <c r="B11" s="240">
        <v>953238</v>
      </c>
      <c r="C11" s="240">
        <v>486931.95</v>
      </c>
    </row>
    <row r="12" spans="1:3" x14ac:dyDescent="0.2">
      <c r="A12" t="s">
        <v>781</v>
      </c>
      <c r="B12" s="240">
        <v>572539.71</v>
      </c>
      <c r="C12" s="240">
        <v>324621.3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15743215.309999999</v>
      </c>
      <c r="C13" s="231">
        <f>SUM(C10:C12)</f>
        <v>8115532.54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5494178.2799999993</v>
      </c>
      <c r="C18" s="229">
        <f>'DOE25'!G197+'DOE25'!G215+'DOE25'!G233+'DOE25'!G276+'DOE25'!G295+'DOE25'!G314</f>
        <v>2597492.7000000002</v>
      </c>
    </row>
    <row r="19" spans="1:3" x14ac:dyDescent="0.2">
      <c r="A19" t="s">
        <v>779</v>
      </c>
      <c r="B19" s="240">
        <v>3472465.13</v>
      </c>
      <c r="C19" s="240">
        <v>1636420.4</v>
      </c>
    </row>
    <row r="20" spans="1:3" x14ac:dyDescent="0.2">
      <c r="A20" t="s">
        <v>780</v>
      </c>
      <c r="B20" s="240">
        <v>1977339.15</v>
      </c>
      <c r="C20" s="240">
        <v>935097.37</v>
      </c>
    </row>
    <row r="21" spans="1:3" x14ac:dyDescent="0.2">
      <c r="A21" t="s">
        <v>781</v>
      </c>
      <c r="B21" s="240">
        <v>44374</v>
      </c>
      <c r="C21" s="240">
        <v>25974.93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5494178.2799999993</v>
      </c>
      <c r="C22" s="231">
        <f>SUM(C19:C21)</f>
        <v>2597492.7000000002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627944.21</v>
      </c>
      <c r="C36" s="235">
        <f>'DOE25'!G199+'DOE25'!G217+'DOE25'!G235+'DOE25'!G278+'DOE25'!G297+'DOE25'!G316</f>
        <v>325980.09999999998</v>
      </c>
    </row>
    <row r="37" spans="1:3" x14ac:dyDescent="0.2">
      <c r="A37" t="s">
        <v>779</v>
      </c>
      <c r="B37" s="240">
        <v>538718.71</v>
      </c>
      <c r="C37" s="240">
        <v>280342.89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89225.5</v>
      </c>
      <c r="C39" s="240">
        <v>45637.21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627944.21</v>
      </c>
      <c r="C40" s="231">
        <f>SUM(C37:C39)</f>
        <v>325980.10000000003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5" sqref="D1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Beford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34485899.339999996</v>
      </c>
      <c r="D5" s="20">
        <f>SUM('DOE25'!L196:L199)+SUM('DOE25'!L214:L217)+SUM('DOE25'!L232:L235)-F5-G5</f>
        <v>34426363.600000001</v>
      </c>
      <c r="E5" s="243"/>
      <c r="F5" s="255">
        <f>SUM('DOE25'!J196:J199)+SUM('DOE25'!J214:J217)+SUM('DOE25'!J232:J235)</f>
        <v>10793.58</v>
      </c>
      <c r="G5" s="53">
        <f>SUM('DOE25'!K196:K199)+SUM('DOE25'!K214:K217)+SUM('DOE25'!K232:K235)</f>
        <v>48742.16</v>
      </c>
      <c r="H5" s="259"/>
    </row>
    <row r="6" spans="1:9" x14ac:dyDescent="0.2">
      <c r="A6" s="32">
        <v>2100</v>
      </c>
      <c r="B6" t="s">
        <v>801</v>
      </c>
      <c r="C6" s="245">
        <f t="shared" si="0"/>
        <v>4392647.6500000004</v>
      </c>
      <c r="D6" s="20">
        <f>'DOE25'!L201+'DOE25'!L219+'DOE25'!L237-F6-G6</f>
        <v>4253863.5600000005</v>
      </c>
      <c r="E6" s="243"/>
      <c r="F6" s="255">
        <f>'DOE25'!J201+'DOE25'!J219+'DOE25'!J237</f>
        <v>138784.09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1166161.47</v>
      </c>
      <c r="D7" s="20">
        <f>'DOE25'!L202+'DOE25'!L220+'DOE25'!L238-F7-G7</f>
        <v>986149.74</v>
      </c>
      <c r="E7" s="243"/>
      <c r="F7" s="255">
        <f>'DOE25'!J202+'DOE25'!J220+'DOE25'!J238</f>
        <v>139637.6</v>
      </c>
      <c r="G7" s="53">
        <f>'DOE25'!K202+'DOE25'!K220+'DOE25'!K238</f>
        <v>40374.129999999997</v>
      </c>
      <c r="H7" s="259"/>
    </row>
    <row r="8" spans="1:9" x14ac:dyDescent="0.2">
      <c r="A8" s="32">
        <v>2300</v>
      </c>
      <c r="B8" t="s">
        <v>802</v>
      </c>
      <c r="C8" s="245">
        <f t="shared" si="0"/>
        <v>594849.96000000031</v>
      </c>
      <c r="D8" s="243"/>
      <c r="E8" s="20">
        <f>'DOE25'!L203+'DOE25'!L221+'DOE25'!L239-F8-G8-D9-D11</f>
        <v>561900.67000000027</v>
      </c>
      <c r="F8" s="255">
        <f>'DOE25'!J203+'DOE25'!J221+'DOE25'!J239</f>
        <v>11436.64</v>
      </c>
      <c r="G8" s="53">
        <f>'DOE25'!K203+'DOE25'!K221+'DOE25'!K239</f>
        <v>21512.65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11046.05</v>
      </c>
      <c r="D9" s="244">
        <v>11046.05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14885</v>
      </c>
      <c r="D10" s="243"/>
      <c r="E10" s="244">
        <v>14885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513560.63</v>
      </c>
      <c r="D11" s="244">
        <v>513560.63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3340399.29</v>
      </c>
      <c r="D12" s="20">
        <f>'DOE25'!L204+'DOE25'!L222+'DOE25'!L240-F12-G12</f>
        <v>3303177.04</v>
      </c>
      <c r="E12" s="243"/>
      <c r="F12" s="255">
        <f>'DOE25'!J204+'DOE25'!J222+'DOE25'!J240</f>
        <v>750</v>
      </c>
      <c r="G12" s="53">
        <f>'DOE25'!K204+'DOE25'!K222+'DOE25'!K240</f>
        <v>36472.25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465621.55999999994</v>
      </c>
      <c r="D13" s="243"/>
      <c r="E13" s="20">
        <f>'DOE25'!L205+'DOE25'!L223+'DOE25'!L241-F13-G13</f>
        <v>465621.55999999994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4245440.95</v>
      </c>
      <c r="D14" s="20">
        <f>'DOE25'!L206+'DOE25'!L224+'DOE25'!L242-F14-G14</f>
        <v>4229867.45</v>
      </c>
      <c r="E14" s="243"/>
      <c r="F14" s="255">
        <f>'DOE25'!J206+'DOE25'!J224+'DOE25'!J242</f>
        <v>14690</v>
      </c>
      <c r="G14" s="53">
        <f>'DOE25'!K206+'DOE25'!K224+'DOE25'!K242</f>
        <v>883.5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2491019.2599999998</v>
      </c>
      <c r="D15" s="20">
        <f>'DOE25'!L207+'DOE25'!L225+'DOE25'!L243-F15-G15</f>
        <v>2491019.2599999998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25083.059999999998</v>
      </c>
      <c r="D16" s="243"/>
      <c r="E16" s="20">
        <f>'DOE25'!L208+'DOE25'!L226+'DOE25'!L244-F16-G16</f>
        <v>25083.059999999998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9170.1799999999985</v>
      </c>
      <c r="D17" s="20">
        <f>'DOE25'!L250-F17-G17</f>
        <v>9170.1799999999985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4585355</v>
      </c>
      <c r="D25" s="243"/>
      <c r="E25" s="243"/>
      <c r="F25" s="258"/>
      <c r="G25" s="256"/>
      <c r="H25" s="257">
        <f>'DOE25'!L259+'DOE25'!L260+'DOE25'!L340+'DOE25'!L341</f>
        <v>4585355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706958.88000000012</v>
      </c>
      <c r="D29" s="20">
        <f>'DOE25'!L357+'DOE25'!L358+'DOE25'!L359-'DOE25'!I366-F29-G29</f>
        <v>674235.93000000017</v>
      </c>
      <c r="E29" s="243"/>
      <c r="F29" s="255">
        <f>'DOE25'!J357+'DOE25'!J358+'DOE25'!J359</f>
        <v>30926.699999999997</v>
      </c>
      <c r="G29" s="53">
        <f>'DOE25'!K357+'DOE25'!K358+'DOE25'!K359</f>
        <v>1796.25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1135279.2699999998</v>
      </c>
      <c r="D31" s="20">
        <f>'DOE25'!L289+'DOE25'!L308+'DOE25'!L327+'DOE25'!L332+'DOE25'!L333+'DOE25'!L334-F31-G31</f>
        <v>1118662.2399999998</v>
      </c>
      <c r="E31" s="243"/>
      <c r="F31" s="255">
        <f>'DOE25'!J289+'DOE25'!J308+'DOE25'!J327+'DOE25'!J332+'DOE25'!J333+'DOE25'!J334</f>
        <v>16617.030000000002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52017115.680000007</v>
      </c>
      <c r="E33" s="246">
        <f>SUM(E5:E31)</f>
        <v>1067490.2900000003</v>
      </c>
      <c r="F33" s="246">
        <f>SUM(F5:F31)</f>
        <v>363635.64000000007</v>
      </c>
      <c r="G33" s="246">
        <f>SUM(G5:G31)</f>
        <v>149780.94</v>
      </c>
      <c r="H33" s="246">
        <f>SUM(H5:H31)</f>
        <v>4585355</v>
      </c>
    </row>
    <row r="35" spans="2:8" ht="12" thickBot="1" x14ac:dyDescent="0.25">
      <c r="B35" s="253" t="s">
        <v>847</v>
      </c>
      <c r="D35" s="254">
        <f>E33</f>
        <v>1067490.2900000003</v>
      </c>
      <c r="E35" s="249"/>
    </row>
    <row r="36" spans="2:8" ht="12" thickTop="1" x14ac:dyDescent="0.2">
      <c r="B36" t="s">
        <v>815</v>
      </c>
      <c r="D36" s="20">
        <f>D33</f>
        <v>52017115.680000007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5645611.4800000004</v>
      </c>
      <c r="D8" s="95">
        <f>'DOE25'!G9</f>
        <v>497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87524.61</v>
      </c>
      <c r="D11" s="95">
        <f>'DOE25'!G12</f>
        <v>293815.8</v>
      </c>
      <c r="E11" s="95">
        <f>'DOE25'!H12</f>
        <v>0</v>
      </c>
      <c r="F11" s="95">
        <f>'DOE25'!I12</f>
        <v>257767.49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125018.14</v>
      </c>
      <c r="D12" s="95">
        <f>'DOE25'!G13</f>
        <v>39566.339999999997</v>
      </c>
      <c r="E12" s="95">
        <f>'DOE25'!H13</f>
        <v>760964.69</v>
      </c>
      <c r="F12" s="95">
        <f>'DOE25'!I13</f>
        <v>0</v>
      </c>
      <c r="G12" s="95">
        <f>'DOE25'!J13</f>
        <v>830209.54999999993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106597.46</v>
      </c>
      <c r="D13" s="95">
        <f>'DOE25'!G14</f>
        <v>1060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17550.22</v>
      </c>
      <c r="D16" s="95">
        <f>'DOE25'!G17</f>
        <v>0</v>
      </c>
      <c r="E16" s="95">
        <f>'DOE25'!H17</f>
        <v>1680.54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5982301.9100000001</v>
      </c>
      <c r="D18" s="41">
        <f>SUM(D8:D17)</f>
        <v>334939.14</v>
      </c>
      <c r="E18" s="41">
        <f>SUM(E8:E17)</f>
        <v>762645.23</v>
      </c>
      <c r="F18" s="41">
        <f>SUM(F8:F17)</f>
        <v>257767.49</v>
      </c>
      <c r="G18" s="41">
        <f>SUM(G8:G17)</f>
        <v>830209.54999999993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639107.9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946346.06</v>
      </c>
      <c r="D23" s="95">
        <f>'DOE25'!G24</f>
        <v>9404.0400000000009</v>
      </c>
      <c r="E23" s="95">
        <f>'DOE25'!H24</f>
        <v>24173.5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2348221.85</v>
      </c>
      <c r="D27" s="95">
        <f>'DOE25'!G28</f>
        <v>10547.33</v>
      </c>
      <c r="E27" s="95">
        <f>'DOE25'!H28</f>
        <v>89460.42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62857.5</v>
      </c>
      <c r="D29" s="95">
        <f>'DOE25'!G30</f>
        <v>50149.71</v>
      </c>
      <c r="E29" s="95">
        <f>'DOE25'!H30</f>
        <v>9903.41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3357425.41</v>
      </c>
      <c r="D31" s="41">
        <f>SUM(D21:D30)</f>
        <v>70101.08</v>
      </c>
      <c r="E31" s="41">
        <f>SUM(E21:E30)</f>
        <v>762645.2300000001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17550.22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264473.06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257767.49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830209.54999999993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171274.86</v>
      </c>
      <c r="D47" s="95">
        <f>'DOE25'!G48</f>
        <v>365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2436051.42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2624876.5</v>
      </c>
      <c r="D49" s="41">
        <f>SUM(D34:D48)</f>
        <v>264838.06</v>
      </c>
      <c r="E49" s="41">
        <f>SUM(E34:E48)</f>
        <v>0</v>
      </c>
      <c r="F49" s="41">
        <f>SUM(F34:F48)</f>
        <v>257767.49</v>
      </c>
      <c r="G49" s="41">
        <f>SUM(G34:G48)</f>
        <v>830209.54999999993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5982301.9100000001</v>
      </c>
      <c r="D50" s="41">
        <f>D49+D31</f>
        <v>334939.14</v>
      </c>
      <c r="E50" s="41">
        <f>E49+E31</f>
        <v>762645.2300000001</v>
      </c>
      <c r="F50" s="41">
        <f>F49+F31</f>
        <v>257767.49</v>
      </c>
      <c r="G50" s="41">
        <f>G49+G31</f>
        <v>830209.54999999993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42550306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267055.54000000004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680.37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2040.41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1375994.37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461371.86</v>
      </c>
      <c r="D60" s="95">
        <f>SUM('DOE25'!G97:G109)</f>
        <v>0</v>
      </c>
      <c r="E60" s="95">
        <f>SUM('DOE25'!H97:H109)</f>
        <v>3289.14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729107.77</v>
      </c>
      <c r="D61" s="130">
        <f>SUM(D56:D60)</f>
        <v>1375994.37</v>
      </c>
      <c r="E61" s="130">
        <f>SUM(E56:E60)</f>
        <v>3289.14</v>
      </c>
      <c r="F61" s="130">
        <f>SUM(F56:F60)</f>
        <v>0</v>
      </c>
      <c r="G61" s="130">
        <f>SUM(G56:G60)</f>
        <v>2040.41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43279413.770000003</v>
      </c>
      <c r="D62" s="22">
        <f>D55+D61</f>
        <v>1375994.37</v>
      </c>
      <c r="E62" s="22">
        <f>E55+E61</f>
        <v>3289.14</v>
      </c>
      <c r="F62" s="22">
        <f>F55+F61</f>
        <v>0</v>
      </c>
      <c r="G62" s="22">
        <f>G55+G61</f>
        <v>2040.41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3461737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7697159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11158896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1067384.3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488550.29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8298.2099999999991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16717.5</v>
      </c>
      <c r="D76" s="95">
        <f>SUM('DOE25'!G130:G134)</f>
        <v>17582.97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1580950.3</v>
      </c>
      <c r="D77" s="130">
        <f>SUM(D71:D76)</f>
        <v>17582.97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12739846.300000001</v>
      </c>
      <c r="D80" s="130">
        <f>SUM(D78:D79)+D77+D69</f>
        <v>17582.97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512379.08</v>
      </c>
      <c r="D87" s="95">
        <f>SUM('DOE25'!G152:G160)</f>
        <v>191113.78</v>
      </c>
      <c r="E87" s="95">
        <f>SUM('DOE25'!H152:H160)</f>
        <v>1131990.1300000001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512379.08</v>
      </c>
      <c r="D90" s="131">
        <f>SUM(D84:D89)</f>
        <v>191113.78</v>
      </c>
      <c r="E90" s="131">
        <f>SUM(E84:E89)</f>
        <v>1131990.1300000001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2429.46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2429.46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56531639.150000006</v>
      </c>
      <c r="D103" s="86">
        <f>D62+D80+D90+D102</f>
        <v>1587120.58</v>
      </c>
      <c r="E103" s="86">
        <f>E62+E80+E90+E102</f>
        <v>1135279.27</v>
      </c>
      <c r="F103" s="86">
        <f>F62+F80+F90+F102</f>
        <v>0</v>
      </c>
      <c r="G103" s="86">
        <f>G62+G80+G102</f>
        <v>2040.41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24572643.34</v>
      </c>
      <c r="D108" s="24" t="s">
        <v>289</v>
      </c>
      <c r="E108" s="95">
        <f>('DOE25'!L275)+('DOE25'!L294)+('DOE25'!L313)</f>
        <v>147596.85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8715742.0899999999</v>
      </c>
      <c r="D109" s="24" t="s">
        <v>289</v>
      </c>
      <c r="E109" s="95">
        <f>('DOE25'!L276)+('DOE25'!L295)+('DOE25'!L314)</f>
        <v>710959.56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53551.86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1143962.05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9170.1799999999985</v>
      </c>
      <c r="D113" s="24" t="s">
        <v>289</v>
      </c>
      <c r="E113" s="95">
        <f>+ SUM('DOE25'!L332:L334)</f>
        <v>10000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34495069.519999996</v>
      </c>
      <c r="D114" s="86">
        <f>SUM(D108:D113)</f>
        <v>0</v>
      </c>
      <c r="E114" s="86">
        <f>SUM(E108:E113)</f>
        <v>868556.41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4392647.6500000004</v>
      </c>
      <c r="D117" s="24" t="s">
        <v>289</v>
      </c>
      <c r="E117" s="95">
        <f>+('DOE25'!L280)+('DOE25'!L299)+('DOE25'!L318)</f>
        <v>224139.44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1166161.47</v>
      </c>
      <c r="D118" s="24" t="s">
        <v>289</v>
      </c>
      <c r="E118" s="95">
        <f>+('DOE25'!L281)+('DOE25'!L300)+('DOE25'!L319)</f>
        <v>30469.79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1119456.6400000001</v>
      </c>
      <c r="D119" s="24" t="s">
        <v>289</v>
      </c>
      <c r="E119" s="95">
        <f>+('DOE25'!L282)+('DOE25'!L301)+('DOE25'!L320)</f>
        <v>5398.4400000000005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3340399.29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465621.55999999994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4245440.95</v>
      </c>
      <c r="D122" s="24" t="s">
        <v>289</v>
      </c>
      <c r="E122" s="95">
        <f>+('DOE25'!L285)+('DOE25'!L304)+('DOE25'!L323)</f>
        <v>6487.19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2491019.2599999998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25083.059999999998</v>
      </c>
      <c r="D124" s="24" t="s">
        <v>289</v>
      </c>
      <c r="E124" s="95">
        <f>+('DOE25'!L287)+('DOE25'!L306)+('DOE25'!L325)</f>
        <v>228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1559859.9300000002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17245829.879999999</v>
      </c>
      <c r="D127" s="86">
        <f>SUM(D117:D126)</f>
        <v>1559859.9300000002</v>
      </c>
      <c r="E127" s="86">
        <f>SUM(E117:E126)</f>
        <v>266722.86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15385.43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3406076.3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1179278.7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2429.46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805.77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1234.6399999999999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-2040.4099999999999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4587784.459999999</v>
      </c>
      <c r="D143" s="141">
        <f>SUM(D129:D142)</f>
        <v>0</v>
      </c>
      <c r="E143" s="141">
        <f>SUM(E129:E142)</f>
        <v>0</v>
      </c>
      <c r="F143" s="141">
        <f>SUM(F129:F142)</f>
        <v>15385.43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56328683.859999992</v>
      </c>
      <c r="D144" s="86">
        <f>(D114+D127+D143)</f>
        <v>1559859.9300000002</v>
      </c>
      <c r="E144" s="86">
        <f>(E114+E127+E143)</f>
        <v>1135279.27</v>
      </c>
      <c r="F144" s="86">
        <f>(F114+F127+F143)</f>
        <v>15385.43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10</v>
      </c>
      <c r="D150" s="153">
        <f>'DOE25'!H489</f>
        <v>24</v>
      </c>
      <c r="E150" s="153">
        <f>'DOE25'!I489</f>
        <v>20</v>
      </c>
      <c r="F150" s="153">
        <f>'DOE25'!J489</f>
        <v>10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8/08</v>
      </c>
      <c r="C151" s="152" t="str">
        <f>'DOE25'!G490</f>
        <v>11/02</v>
      </c>
      <c r="D151" s="152" t="str">
        <f>'DOE25'!H490</f>
        <v>7/05</v>
      </c>
      <c r="E151" s="152" t="str">
        <f>'DOE25'!I490</f>
        <v>6/06</v>
      </c>
      <c r="F151" s="152" t="str">
        <f>'DOE25'!J490</f>
        <v>8/07</v>
      </c>
      <c r="G151" s="24" t="s">
        <v>289</v>
      </c>
    </row>
    <row r="152" spans="1:9" x14ac:dyDescent="0.2">
      <c r="A152" s="136" t="s">
        <v>29</v>
      </c>
      <c r="B152" s="152" t="str">
        <f>'DOE25'!F491</f>
        <v>8/18</v>
      </c>
      <c r="C152" s="152" t="str">
        <f>'DOE25'!G491</f>
        <v>11/12</v>
      </c>
      <c r="D152" s="152" t="str">
        <f>'DOE25'!H491</f>
        <v>7/29</v>
      </c>
      <c r="E152" s="152" t="str">
        <f>'DOE25'!I491</f>
        <v>7/26</v>
      </c>
      <c r="F152" s="152" t="str">
        <f>'DOE25'!J491</f>
        <v>8/17</v>
      </c>
      <c r="G152" s="24" t="s">
        <v>289</v>
      </c>
    </row>
    <row r="153" spans="1:9" x14ac:dyDescent="0.2">
      <c r="A153" s="136" t="s">
        <v>30</v>
      </c>
      <c r="B153" s="137">
        <f>'DOE25'!F492</f>
        <v>3935000</v>
      </c>
      <c r="C153" s="137">
        <f>'DOE25'!G492</f>
        <v>3181000</v>
      </c>
      <c r="D153" s="137">
        <f>'DOE25'!H492</f>
        <v>47505000</v>
      </c>
      <c r="E153" s="137">
        <f>'DOE25'!I492</f>
        <v>800000</v>
      </c>
      <c r="F153" s="137">
        <f>'DOE25'!J492</f>
        <v>2681350</v>
      </c>
      <c r="G153" s="24" t="s">
        <v>289</v>
      </c>
    </row>
    <row r="154" spans="1:9" x14ac:dyDescent="0.2">
      <c r="A154" s="136" t="s">
        <v>31</v>
      </c>
      <c r="B154" s="137">
        <f>'DOE25'!F493</f>
        <v>3.34</v>
      </c>
      <c r="C154" s="137">
        <f>'DOE25'!G493</f>
        <v>3.37</v>
      </c>
      <c r="D154" s="137">
        <f>'DOE25'!H493</f>
        <v>4.34</v>
      </c>
      <c r="E154" s="137">
        <f>'DOE25'!I493</f>
        <v>4.5199999999999996</v>
      </c>
      <c r="F154" s="137">
        <f>'DOE25'!J493</f>
        <v>4.28</v>
      </c>
      <c r="G154" s="24" t="s">
        <v>289</v>
      </c>
    </row>
    <row r="155" spans="1:9" x14ac:dyDescent="0.2">
      <c r="A155" s="22" t="s">
        <v>32</v>
      </c>
      <c r="B155" s="137">
        <f>'DOE25'!F494</f>
        <v>2720000</v>
      </c>
      <c r="C155" s="137">
        <f>'DOE25'!G494</f>
        <v>320000</v>
      </c>
      <c r="D155" s="137">
        <f>'DOE25'!H494</f>
        <v>29523811</v>
      </c>
      <c r="E155" s="137">
        <f>'DOE25'!I494</f>
        <v>600000</v>
      </c>
      <c r="F155" s="137">
        <f>'DOE25'!J494</f>
        <v>1605000</v>
      </c>
      <c r="G155" s="138">
        <f>SUM(B155:F155)</f>
        <v>34768811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395000</v>
      </c>
      <c r="C157" s="137">
        <f>'DOE25'!G496</f>
        <v>320000</v>
      </c>
      <c r="D157" s="137">
        <f>'DOE25'!H496</f>
        <v>2381076</v>
      </c>
      <c r="E157" s="137">
        <f>'DOE25'!I496</f>
        <v>40000</v>
      </c>
      <c r="F157" s="137">
        <f>'DOE25'!J496</f>
        <v>270000</v>
      </c>
      <c r="G157" s="138">
        <f t="shared" si="0"/>
        <v>3406076</v>
      </c>
    </row>
    <row r="158" spans="1:9" x14ac:dyDescent="0.2">
      <c r="A158" s="22" t="s">
        <v>35</v>
      </c>
      <c r="B158" s="137">
        <f>'DOE25'!F497</f>
        <v>2325000</v>
      </c>
      <c r="C158" s="137">
        <f>'DOE25'!G497</f>
        <v>0</v>
      </c>
      <c r="D158" s="137">
        <f>'DOE25'!H497</f>
        <v>27142735</v>
      </c>
      <c r="E158" s="137">
        <f>'DOE25'!I497</f>
        <v>560000</v>
      </c>
      <c r="F158" s="137">
        <f>'DOE25'!J497</f>
        <v>1335000</v>
      </c>
      <c r="G158" s="138">
        <f t="shared" si="0"/>
        <v>31362735</v>
      </c>
    </row>
    <row r="159" spans="1:9" x14ac:dyDescent="0.2">
      <c r="A159" s="22" t="s">
        <v>36</v>
      </c>
      <c r="B159" s="137">
        <f>'DOE25'!F498</f>
        <v>313094</v>
      </c>
      <c r="C159" s="137">
        <f>'DOE25'!G498</f>
        <v>0</v>
      </c>
      <c r="D159" s="137">
        <f>'DOE25'!H498</f>
        <v>29699462</v>
      </c>
      <c r="E159" s="137">
        <f>'DOE25'!I498</f>
        <v>177715</v>
      </c>
      <c r="F159" s="137">
        <f>'DOE25'!J498</f>
        <v>162074</v>
      </c>
      <c r="G159" s="138">
        <f t="shared" si="0"/>
        <v>30352345</v>
      </c>
    </row>
    <row r="160" spans="1:9" x14ac:dyDescent="0.2">
      <c r="A160" s="22" t="s">
        <v>37</v>
      </c>
      <c r="B160" s="137">
        <f>'DOE25'!F499</f>
        <v>2638094</v>
      </c>
      <c r="C160" s="137">
        <f>'DOE25'!G499</f>
        <v>0</v>
      </c>
      <c r="D160" s="137">
        <f>'DOE25'!H499</f>
        <v>56842197</v>
      </c>
      <c r="E160" s="137">
        <f>'DOE25'!I499</f>
        <v>737715</v>
      </c>
      <c r="F160" s="137">
        <f>'DOE25'!J499</f>
        <v>1497074</v>
      </c>
      <c r="G160" s="138">
        <f t="shared" si="0"/>
        <v>61715080</v>
      </c>
    </row>
    <row r="161" spans="1:7" x14ac:dyDescent="0.2">
      <c r="A161" s="22" t="s">
        <v>38</v>
      </c>
      <c r="B161" s="137">
        <f>'DOE25'!F500</f>
        <v>390000</v>
      </c>
      <c r="C161" s="137">
        <f>'DOE25'!G500</f>
        <v>0</v>
      </c>
      <c r="D161" s="137">
        <f>'DOE25'!H500</f>
        <v>2271068</v>
      </c>
      <c r="E161" s="137">
        <f>'DOE25'!I500</f>
        <v>40000</v>
      </c>
      <c r="F161" s="137">
        <f>'DOE25'!J500</f>
        <v>270000</v>
      </c>
      <c r="G161" s="138">
        <f t="shared" si="0"/>
        <v>2971068</v>
      </c>
    </row>
    <row r="162" spans="1:7" x14ac:dyDescent="0.2">
      <c r="A162" s="22" t="s">
        <v>39</v>
      </c>
      <c r="B162" s="137">
        <f>'DOE25'!F501</f>
        <v>99438</v>
      </c>
      <c r="C162" s="137">
        <f>'DOE25'!G501</f>
        <v>0</v>
      </c>
      <c r="D162" s="137">
        <f>'DOE25'!H501</f>
        <v>1073391</v>
      </c>
      <c r="E162" s="137">
        <f>'DOE25'!I501</f>
        <v>24230</v>
      </c>
      <c r="F162" s="137">
        <f>'DOE25'!J501</f>
        <v>56963</v>
      </c>
      <c r="G162" s="138">
        <f t="shared" si="0"/>
        <v>1254022</v>
      </c>
    </row>
    <row r="163" spans="1:7" x14ac:dyDescent="0.2">
      <c r="A163" s="22" t="s">
        <v>246</v>
      </c>
      <c r="B163" s="137">
        <f>'DOE25'!F502</f>
        <v>489438</v>
      </c>
      <c r="C163" s="137">
        <f>'DOE25'!G502</f>
        <v>0</v>
      </c>
      <c r="D163" s="137">
        <f>'DOE25'!H502</f>
        <v>3344459</v>
      </c>
      <c r="E163" s="137">
        <f>'DOE25'!I502</f>
        <v>64230</v>
      </c>
      <c r="F163" s="137">
        <f>'DOE25'!J502</f>
        <v>326963</v>
      </c>
      <c r="G163" s="138">
        <f t="shared" si="0"/>
        <v>4225090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7" workbookViewId="0">
      <selection activeCell="D69" sqref="D6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Beford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12045</v>
      </c>
    </row>
    <row r="5" spans="1:4" x14ac:dyDescent="0.2">
      <c r="B5" t="s">
        <v>704</v>
      </c>
      <c r="C5" s="179">
        <f>IF('DOE25'!G664+'DOE25'!G669=0,0,ROUND('DOE25'!G671,0))</f>
        <v>10771</v>
      </c>
    </row>
    <row r="6" spans="1:4" x14ac:dyDescent="0.2">
      <c r="B6" t="s">
        <v>62</v>
      </c>
      <c r="C6" s="179">
        <f>IF('DOE25'!H664+'DOE25'!H669=0,0,ROUND('DOE25'!H671,0))</f>
        <v>11147</v>
      </c>
    </row>
    <row r="7" spans="1:4" x14ac:dyDescent="0.2">
      <c r="B7" t="s">
        <v>705</v>
      </c>
      <c r="C7" s="179">
        <f>IF('DOE25'!I664+'DOE25'!I669=0,0,ROUND('DOE25'!I671,0))</f>
        <v>11540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24720240</v>
      </c>
      <c r="D10" s="182">
        <f>ROUND((C10/$C$28)*100,1)</f>
        <v>45.6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9426702</v>
      </c>
      <c r="D11" s="182">
        <f>ROUND((C11/$C$28)*100,1)</f>
        <v>17.399999999999999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53552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1143962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4616787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1196631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1150166</v>
      </c>
      <c r="D17" s="182">
        <f t="shared" si="0"/>
        <v>2.1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3340399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465622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4251928</v>
      </c>
      <c r="D20" s="182">
        <f t="shared" si="0"/>
        <v>7.8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2491019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19170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1179279</v>
      </c>
      <c r="D25" s="182">
        <f t="shared" si="0"/>
        <v>2.2000000000000002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183865.62999999989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54239322.630000003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15385</v>
      </c>
    </row>
    <row r="30" spans="1:4" x14ac:dyDescent="0.2">
      <c r="B30" s="187" t="s">
        <v>729</v>
      </c>
      <c r="C30" s="180">
        <f>SUM(C28:C29)</f>
        <v>54254707.630000003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3406076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42550306</v>
      </c>
      <c r="D35" s="182">
        <f t="shared" ref="D35:D40" si="1">ROUND((C35/$C$41)*100,1)</f>
        <v>73.5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734437.31999999285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11158896</v>
      </c>
      <c r="D37" s="182">
        <f t="shared" si="1"/>
        <v>19.3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1598533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1835483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57877655.319999993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25" sqref="C25:M2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Beford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2013-08-31T14:13:33Z</cp:lastPrinted>
  <dcterms:created xsi:type="dcterms:W3CDTF">1997-12-04T19:04:30Z</dcterms:created>
  <dcterms:modified xsi:type="dcterms:W3CDTF">2013-12-05T18:36:38Z</dcterms:modified>
</cp:coreProperties>
</file>