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0" yWindow="345" windowWidth="20505" windowHeight="78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2" i="1" l="1"/>
  <c r="H468" i="1"/>
  <c r="F56" i="1" l="1"/>
  <c r="G244" i="1"/>
  <c r="G243" i="1"/>
  <c r="G242" i="1"/>
  <c r="G241" i="1"/>
  <c r="G240" i="1"/>
  <c r="G239" i="1"/>
  <c r="G238" i="1"/>
  <c r="G237" i="1"/>
  <c r="G235" i="1"/>
  <c r="G234" i="1"/>
  <c r="G233" i="1"/>
  <c r="G232" i="1"/>
  <c r="G226" i="1"/>
  <c r="G225" i="1"/>
  <c r="G224" i="1"/>
  <c r="G223" i="1"/>
  <c r="G222" i="1"/>
  <c r="G221" i="1"/>
  <c r="G220" i="1"/>
  <c r="G219" i="1"/>
  <c r="G217" i="1"/>
  <c r="G215" i="1"/>
  <c r="G214" i="1"/>
  <c r="G208" i="1"/>
  <c r="G207" i="1"/>
  <c r="G206" i="1"/>
  <c r="G205" i="1"/>
  <c r="G204" i="1"/>
  <c r="G203" i="1"/>
  <c r="G202" i="1"/>
  <c r="G201" i="1"/>
  <c r="G199" i="1"/>
  <c r="G197" i="1"/>
  <c r="G196" i="1"/>
  <c r="J590" i="1" l="1"/>
  <c r="I590" i="1"/>
  <c r="H590" i="1"/>
  <c r="I596" i="1"/>
  <c r="H596" i="1"/>
  <c r="J594" i="1"/>
  <c r="I594" i="1"/>
  <c r="H594" i="1"/>
  <c r="J593" i="1"/>
  <c r="I593" i="1"/>
  <c r="H593" i="1"/>
  <c r="J591" i="1"/>
  <c r="I591" i="1"/>
  <c r="H591" i="1"/>
  <c r="H243" i="1" l="1"/>
  <c r="H225" i="1"/>
  <c r="H207" i="1"/>
  <c r="H242" i="1"/>
  <c r="H224" i="1"/>
  <c r="H206" i="1"/>
  <c r="I242" i="1"/>
  <c r="I224" i="1"/>
  <c r="I206" i="1"/>
  <c r="H241" i="1"/>
  <c r="H223" i="1"/>
  <c r="H205" i="1"/>
  <c r="H239" i="1"/>
  <c r="H221" i="1"/>
  <c r="H203" i="1"/>
  <c r="H235" i="1"/>
  <c r="H217" i="1"/>
  <c r="H199" i="1"/>
  <c r="G506" i="1" l="1"/>
  <c r="I506" i="1"/>
  <c r="G47" i="1" l="1"/>
  <c r="F47" i="1"/>
  <c r="G9" i="1"/>
  <c r="H9" i="1"/>
  <c r="F581" i="1" l="1"/>
  <c r="G525" i="1"/>
  <c r="F525" i="1"/>
  <c r="J520" i="1"/>
  <c r="I520" i="1"/>
  <c r="G527" i="1"/>
  <c r="G526" i="1"/>
  <c r="F527" i="1"/>
  <c r="F526" i="1"/>
  <c r="H527" i="1"/>
  <c r="H526" i="1"/>
  <c r="H525" i="1"/>
  <c r="H522" i="1"/>
  <c r="H521" i="1"/>
  <c r="H520" i="1"/>
  <c r="G522" i="1"/>
  <c r="G521" i="1"/>
  <c r="G520" i="1"/>
  <c r="F522" i="1"/>
  <c r="F521" i="1"/>
  <c r="F520" i="1"/>
  <c r="G542" i="1"/>
  <c r="F542" i="1"/>
  <c r="I527" i="1"/>
  <c r="I522" i="1"/>
  <c r="H541" i="1"/>
  <c r="G541" i="1"/>
  <c r="F541" i="1"/>
  <c r="I521" i="1"/>
  <c r="G540" i="1"/>
  <c r="F540" i="1"/>
  <c r="K532" i="1"/>
  <c r="K531" i="1"/>
  <c r="K530" i="1"/>
  <c r="I532" i="1"/>
  <c r="I531" i="1"/>
  <c r="I530" i="1"/>
  <c r="H532" i="1"/>
  <c r="H531" i="1"/>
  <c r="H530" i="1"/>
  <c r="G532" i="1"/>
  <c r="G531" i="1"/>
  <c r="G530" i="1"/>
  <c r="F532" i="1"/>
  <c r="F531" i="1"/>
  <c r="F530" i="1"/>
  <c r="I526" i="1"/>
  <c r="I525" i="1"/>
  <c r="H497" i="1" l="1"/>
  <c r="H158" i="1" l="1"/>
  <c r="H154" i="1"/>
  <c r="H101" i="1"/>
  <c r="G357" i="1" l="1"/>
  <c r="F357" i="1"/>
  <c r="I359" i="1"/>
  <c r="I358" i="1"/>
  <c r="I357" i="1"/>
  <c r="H358" i="1"/>
  <c r="H359" i="1"/>
  <c r="H357" i="1"/>
  <c r="G359" i="1"/>
  <c r="G358" i="1"/>
  <c r="F359" i="1"/>
  <c r="F358" i="1"/>
  <c r="J232" i="1" l="1"/>
  <c r="I232" i="1"/>
  <c r="H232" i="1"/>
  <c r="J214" i="1"/>
  <c r="J197" i="1"/>
  <c r="I197" i="1"/>
  <c r="J196" i="1"/>
  <c r="I196" i="1"/>
  <c r="H319" i="1"/>
  <c r="J318" i="1"/>
  <c r="I318" i="1"/>
  <c r="K316" i="1"/>
  <c r="J316" i="1"/>
  <c r="G316" i="1"/>
  <c r="F316" i="1"/>
  <c r="H315" i="1"/>
  <c r="J313" i="1"/>
  <c r="I313" i="1"/>
  <c r="G313" i="1"/>
  <c r="F313" i="1"/>
  <c r="H300" i="1"/>
  <c r="J294" i="1"/>
  <c r="I294" i="1"/>
  <c r="G294" i="1"/>
  <c r="F294" i="1"/>
  <c r="G280" i="1"/>
  <c r="F280" i="1"/>
  <c r="K276" i="1"/>
  <c r="H282" i="1" l="1"/>
  <c r="H281" i="1"/>
  <c r="J278" i="1"/>
  <c r="H276" i="1"/>
  <c r="G276" i="1"/>
  <c r="F276" i="1"/>
  <c r="K275" i="1"/>
  <c r="J275" i="1"/>
  <c r="I275" i="1"/>
  <c r="H275" i="1"/>
  <c r="G275" i="1"/>
  <c r="F275" i="1"/>
  <c r="H305" i="1"/>
  <c r="H286" i="1"/>
  <c r="G318" i="1"/>
  <c r="F318" i="1"/>
  <c r="G299" i="1"/>
  <c r="F299" i="1"/>
  <c r="H318" i="1"/>
  <c r="H299" i="1"/>
  <c r="H280" i="1"/>
  <c r="K297" i="1"/>
  <c r="I297" i="1"/>
  <c r="H297" i="1"/>
  <c r="G297" i="1"/>
  <c r="F297" i="1"/>
  <c r="K278" i="1"/>
  <c r="I278" i="1"/>
  <c r="H278" i="1"/>
  <c r="G278" i="1"/>
  <c r="F278" i="1"/>
  <c r="G314" i="1"/>
  <c r="F314" i="1"/>
  <c r="G295" i="1"/>
  <c r="F295" i="1"/>
  <c r="F239" i="1"/>
  <c r="F240" i="1"/>
  <c r="F234" i="1"/>
  <c r="F232" i="1"/>
  <c r="F221" i="1"/>
  <c r="F219" i="1"/>
  <c r="F215" i="1"/>
  <c r="F214" i="1"/>
  <c r="F203" i="1"/>
  <c r="F201" i="1"/>
  <c r="F196" i="1"/>
  <c r="F243" i="1" l="1"/>
  <c r="F242" i="1"/>
  <c r="K240" i="1"/>
  <c r="J240" i="1"/>
  <c r="I240" i="1"/>
  <c r="H240" i="1"/>
  <c r="K239" i="1"/>
  <c r="J238" i="1"/>
  <c r="I238" i="1"/>
  <c r="H238" i="1"/>
  <c r="F238" i="1"/>
  <c r="I237" i="1"/>
  <c r="H237" i="1"/>
  <c r="F237" i="1"/>
  <c r="K237" i="1"/>
  <c r="J237" i="1"/>
  <c r="K235" i="1"/>
  <c r="J235" i="1"/>
  <c r="I235" i="1"/>
  <c r="F235" i="1"/>
  <c r="J234" i="1"/>
  <c r="I234" i="1"/>
  <c r="H234" i="1"/>
  <c r="H233" i="1"/>
  <c r="I233" i="1"/>
  <c r="F233" i="1"/>
  <c r="K232" i="1"/>
  <c r="F225" i="1"/>
  <c r="F224" i="1"/>
  <c r="K222" i="1"/>
  <c r="J222" i="1"/>
  <c r="I222" i="1"/>
  <c r="H222" i="1"/>
  <c r="F222" i="1"/>
  <c r="I220" i="1"/>
  <c r="H220" i="1"/>
  <c r="F220" i="1"/>
  <c r="J219" i="1"/>
  <c r="I219" i="1"/>
  <c r="K219" i="1"/>
  <c r="H219" i="1"/>
  <c r="K217" i="1"/>
  <c r="I217" i="1"/>
  <c r="F217" i="1"/>
  <c r="I215" i="1"/>
  <c r="H215" i="1"/>
  <c r="K214" i="1"/>
  <c r="I214" i="1"/>
  <c r="H214" i="1"/>
  <c r="H197" i="1" l="1"/>
  <c r="F197" i="1"/>
  <c r="F207" i="1"/>
  <c r="F206" i="1"/>
  <c r="K204" i="1"/>
  <c r="I204" i="1"/>
  <c r="H204" i="1"/>
  <c r="F204" i="1"/>
  <c r="J202" i="1"/>
  <c r="I202" i="1"/>
  <c r="H202" i="1"/>
  <c r="F202" i="1"/>
  <c r="I201" i="1"/>
  <c r="H201" i="1"/>
  <c r="K201" i="1"/>
  <c r="K199" i="1"/>
  <c r="I199" i="1"/>
  <c r="F199" i="1"/>
  <c r="H196" i="1"/>
  <c r="F244" i="1" l="1"/>
  <c r="F226" i="1"/>
  <c r="F208" i="1"/>
  <c r="K243" i="1"/>
  <c r="J243" i="1"/>
  <c r="I243" i="1"/>
  <c r="K225" i="1"/>
  <c r="J225" i="1"/>
  <c r="I225" i="1"/>
  <c r="K207" i="1"/>
  <c r="J207" i="1"/>
  <c r="I207" i="1"/>
  <c r="J242" i="1"/>
  <c r="J224" i="1"/>
  <c r="J206" i="1"/>
  <c r="K241" i="1"/>
  <c r="F241" i="1"/>
  <c r="K223" i="1"/>
  <c r="F223" i="1"/>
  <c r="K205" i="1"/>
  <c r="F205" i="1"/>
  <c r="I239" i="1"/>
  <c r="K221" i="1"/>
  <c r="I221" i="1"/>
  <c r="K203" i="1"/>
  <c r="I203" i="1"/>
  <c r="J239" i="1"/>
  <c r="J221" i="1"/>
  <c r="J203" i="1"/>
  <c r="C37" i="10" l="1"/>
  <c r="F40" i="2" l="1"/>
  <c r="D39" i="2"/>
  <c r="G654" i="1"/>
  <c r="F47" i="2"/>
  <c r="E47" i="2"/>
  <c r="D47" i="2"/>
  <c r="C47" i="2"/>
  <c r="F46" i="2"/>
  <c r="E46" i="2"/>
  <c r="E49" i="2" s="1"/>
  <c r="E50" i="2" s="1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2" i="10" s="1"/>
  <c r="L235" i="1"/>
  <c r="F6" i="13"/>
  <c r="G6" i="13"/>
  <c r="L201" i="1"/>
  <c r="L219" i="1"/>
  <c r="L237" i="1"/>
  <c r="F7" i="13"/>
  <c r="G7" i="13"/>
  <c r="L202" i="1"/>
  <c r="L220" i="1"/>
  <c r="D7" i="13" s="1"/>
  <c r="C7" i="13" s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49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H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E111" i="2" s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78" i="1"/>
  <c r="C56" i="2" s="1"/>
  <c r="F93" i="1"/>
  <c r="C57" i="2" s="1"/>
  <c r="F110" i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L249" i="1"/>
  <c r="L331" i="1"/>
  <c r="C23" i="10" s="1"/>
  <c r="L253" i="1"/>
  <c r="C25" i="10"/>
  <c r="L267" i="1"/>
  <c r="L268" i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D18" i="2" s="1"/>
  <c r="E8" i="2"/>
  <c r="E18" i="2" s="1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C77" i="2" s="1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C112" i="2"/>
  <c r="E112" i="2"/>
  <c r="C113" i="2"/>
  <c r="E113" i="2"/>
  <c r="D114" i="2"/>
  <c r="F114" i="2"/>
  <c r="G114" i="2"/>
  <c r="C118" i="2"/>
  <c r="E119" i="2"/>
  <c r="E120" i="2"/>
  <c r="E121" i="2"/>
  <c r="E122" i="2"/>
  <c r="E123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G475" i="1" s="1"/>
  <c r="H622" i="1" s="1"/>
  <c r="H469" i="1"/>
  <c r="I469" i="1"/>
  <c r="J469" i="1"/>
  <c r="F473" i="1"/>
  <c r="G473" i="1"/>
  <c r="H473" i="1"/>
  <c r="I473" i="1"/>
  <c r="I475" i="1" s="1"/>
  <c r="H624" i="1" s="1"/>
  <c r="J624" i="1" s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9" i="1" s="1"/>
  <c r="L557" i="1"/>
  <c r="L558" i="1"/>
  <c r="F559" i="1"/>
  <c r="F570" i="1" s="1"/>
  <c r="G559" i="1"/>
  <c r="H559" i="1"/>
  <c r="H570" i="1" s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3" i="1"/>
  <c r="G624" i="1"/>
  <c r="H626" i="1"/>
  <c r="H627" i="1"/>
  <c r="H628" i="1"/>
  <c r="H629" i="1"/>
  <c r="H630" i="1"/>
  <c r="H631" i="1"/>
  <c r="H632" i="1"/>
  <c r="H634" i="1"/>
  <c r="H635" i="1"/>
  <c r="J635" i="1" s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51" i="1"/>
  <c r="H651" i="1"/>
  <c r="G652" i="1"/>
  <c r="H652" i="1"/>
  <c r="G653" i="1"/>
  <c r="H653" i="1"/>
  <c r="H654" i="1"/>
  <c r="F191" i="1"/>
  <c r="L255" i="1"/>
  <c r="C18" i="2"/>
  <c r="F31" i="2"/>
  <c r="C26" i="10"/>
  <c r="L350" i="1"/>
  <c r="A31" i="12"/>
  <c r="C69" i="2"/>
  <c r="D61" i="2"/>
  <c r="D62" i="2" s="1"/>
  <c r="D18" i="13"/>
  <c r="C18" i="13" s="1"/>
  <c r="F102" i="2"/>
  <c r="D17" i="13"/>
  <c r="C17" i="13" s="1"/>
  <c r="G158" i="2"/>
  <c r="G80" i="2"/>
  <c r="F77" i="2"/>
  <c r="F80" i="2" s="1"/>
  <c r="F61" i="2"/>
  <c r="F62" i="2" s="1"/>
  <c r="D31" i="2"/>
  <c r="G156" i="2"/>
  <c r="F49" i="2"/>
  <c r="F50" i="2" s="1"/>
  <c r="F18" i="2"/>
  <c r="G157" i="2"/>
  <c r="E143" i="2"/>
  <c r="G102" i="2"/>
  <c r="E102" i="2"/>
  <c r="C102" i="2"/>
  <c r="D90" i="2"/>
  <c r="F90" i="2"/>
  <c r="E61" i="2"/>
  <c r="E62" i="2" s="1"/>
  <c r="E31" i="2"/>
  <c r="C31" i="2"/>
  <c r="G61" i="2"/>
  <c r="D19" i="13"/>
  <c r="C19" i="13" s="1"/>
  <c r="E77" i="2"/>
  <c r="E80" i="2" s="1"/>
  <c r="L426" i="1"/>
  <c r="J640" i="1"/>
  <c r="J638" i="1"/>
  <c r="J570" i="1"/>
  <c r="K570" i="1"/>
  <c r="L432" i="1"/>
  <c r="L418" i="1"/>
  <c r="I168" i="1"/>
  <c r="J643" i="1"/>
  <c r="J642" i="1"/>
  <c r="J475" i="1"/>
  <c r="H625" i="1" s="1"/>
  <c r="F168" i="1"/>
  <c r="J139" i="1"/>
  <c r="I551" i="1"/>
  <c r="G22" i="2"/>
  <c r="K544" i="1"/>
  <c r="J551" i="1"/>
  <c r="C29" i="10"/>
  <c r="H139" i="1"/>
  <c r="L400" i="1"/>
  <c r="C138" i="2" s="1"/>
  <c r="L392" i="1"/>
  <c r="F22" i="13"/>
  <c r="H25" i="13"/>
  <c r="C25" i="13" s="1"/>
  <c r="J639" i="1"/>
  <c r="J544" i="1"/>
  <c r="G191" i="1"/>
  <c r="H191" i="1"/>
  <c r="C49" i="2"/>
  <c r="C50" i="2" s="1"/>
  <c r="J654" i="1"/>
  <c r="J644" i="1"/>
  <c r="L569" i="1"/>
  <c r="I570" i="1"/>
  <c r="G36" i="2"/>
  <c r="L564" i="1"/>
  <c r="C22" i="13"/>
  <c r="C137" i="2"/>
  <c r="H33" i="13"/>
  <c r="G155" i="2" l="1"/>
  <c r="G162" i="2"/>
  <c r="G163" i="2"/>
  <c r="H475" i="1"/>
  <c r="H623" i="1" s="1"/>
  <c r="A40" i="12"/>
  <c r="A13" i="12"/>
  <c r="C55" i="2"/>
  <c r="K597" i="1"/>
  <c r="G646" i="1" s="1"/>
  <c r="C19" i="10"/>
  <c r="F111" i="1"/>
  <c r="C36" i="10" s="1"/>
  <c r="F475" i="1"/>
  <c r="H621" i="1" s="1"/>
  <c r="J621" i="1" s="1"/>
  <c r="J623" i="1"/>
  <c r="G622" i="1"/>
  <c r="J622" i="1" s="1"/>
  <c r="G621" i="1"/>
  <c r="J616" i="1"/>
  <c r="C80" i="2"/>
  <c r="K550" i="1"/>
  <c r="H551" i="1"/>
  <c r="L533" i="1"/>
  <c r="K548" i="1"/>
  <c r="K549" i="1"/>
  <c r="H544" i="1"/>
  <c r="G551" i="1"/>
  <c r="I544" i="1"/>
  <c r="G544" i="1"/>
  <c r="L528" i="1"/>
  <c r="L523" i="1"/>
  <c r="F551" i="1"/>
  <c r="K499" i="1"/>
  <c r="G160" i="2"/>
  <c r="G159" i="2"/>
  <c r="G161" i="2"/>
  <c r="K502" i="1"/>
  <c r="C90" i="2"/>
  <c r="C61" i="2"/>
  <c r="C62" i="2" s="1"/>
  <c r="J633" i="1"/>
  <c r="L361" i="1"/>
  <c r="D126" i="2"/>
  <c r="D127" i="2" s="1"/>
  <c r="D144" i="2" s="1"/>
  <c r="F660" i="1"/>
  <c r="D29" i="13"/>
  <c r="C29" i="13" s="1"/>
  <c r="G660" i="1"/>
  <c r="J337" i="1"/>
  <c r="J351" i="1" s="1"/>
  <c r="C10" i="10"/>
  <c r="H661" i="1"/>
  <c r="L327" i="1"/>
  <c r="C16" i="10"/>
  <c r="E118" i="2"/>
  <c r="H337" i="1"/>
  <c r="H351" i="1" s="1"/>
  <c r="E117" i="2"/>
  <c r="G337" i="1"/>
  <c r="G351" i="1" s="1"/>
  <c r="K337" i="1"/>
  <c r="K351" i="1" s="1"/>
  <c r="C13" i="10"/>
  <c r="F337" i="1"/>
  <c r="F351" i="1" s="1"/>
  <c r="E109" i="2"/>
  <c r="L308" i="1"/>
  <c r="L289" i="1"/>
  <c r="E108" i="2"/>
  <c r="C111" i="2"/>
  <c r="C110" i="2"/>
  <c r="G661" i="1"/>
  <c r="C120" i="2"/>
  <c r="C15" i="10"/>
  <c r="G650" i="1"/>
  <c r="J650" i="1" s="1"/>
  <c r="C18" i="10"/>
  <c r="D12" i="13"/>
  <c r="C12" i="13" s="1"/>
  <c r="C124" i="2"/>
  <c r="E16" i="13"/>
  <c r="C16" i="13" s="1"/>
  <c r="H646" i="1"/>
  <c r="C21" i="10"/>
  <c r="D15" i="13"/>
  <c r="C15" i="13" s="1"/>
  <c r="C123" i="2"/>
  <c r="G648" i="1"/>
  <c r="J648" i="1" s="1"/>
  <c r="F661" i="1"/>
  <c r="C20" i="10"/>
  <c r="C122" i="2"/>
  <c r="D14" i="13"/>
  <c r="C14" i="13" s="1"/>
  <c r="E13" i="13"/>
  <c r="C13" i="13" s="1"/>
  <c r="C121" i="2"/>
  <c r="J256" i="1"/>
  <c r="J270" i="1" s="1"/>
  <c r="K256" i="1"/>
  <c r="K270" i="1" s="1"/>
  <c r="C17" i="10"/>
  <c r="H256" i="1"/>
  <c r="H270" i="1" s="1"/>
  <c r="C119" i="2"/>
  <c r="E8" i="13"/>
  <c r="C8" i="13" s="1"/>
  <c r="C117" i="2"/>
  <c r="D6" i="13"/>
  <c r="C6" i="13" s="1"/>
  <c r="L246" i="1"/>
  <c r="G256" i="1"/>
  <c r="G270" i="1" s="1"/>
  <c r="C11" i="10"/>
  <c r="L228" i="1"/>
  <c r="C109" i="2"/>
  <c r="I256" i="1"/>
  <c r="I270" i="1" s="1"/>
  <c r="D5" i="13"/>
  <c r="C5" i="13" s="1"/>
  <c r="F256" i="1"/>
  <c r="F270" i="1" s="1"/>
  <c r="C108" i="2"/>
  <c r="L210" i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J651" i="1"/>
  <c r="J641" i="1"/>
  <c r="G570" i="1"/>
  <c r="I433" i="1"/>
  <c r="G433" i="1"/>
  <c r="I662" i="1"/>
  <c r="C27" i="10"/>
  <c r="G634" i="1"/>
  <c r="J634" i="1" s="1"/>
  <c r="J646" i="1" l="1"/>
  <c r="K551" i="1"/>
  <c r="L544" i="1"/>
  <c r="C103" i="2"/>
  <c r="I660" i="1"/>
  <c r="E114" i="2"/>
  <c r="H659" i="1"/>
  <c r="H663" i="1" s="1"/>
  <c r="H671" i="1" s="1"/>
  <c r="C6" i="10" s="1"/>
  <c r="E127" i="2"/>
  <c r="F659" i="1"/>
  <c r="L337" i="1"/>
  <c r="L351" i="1" s="1"/>
  <c r="G632" i="1" s="1"/>
  <c r="J632" i="1" s="1"/>
  <c r="G659" i="1"/>
  <c r="G663" i="1" s="1"/>
  <c r="G666" i="1" s="1"/>
  <c r="D31" i="13"/>
  <c r="C31" i="13" s="1"/>
  <c r="I661" i="1"/>
  <c r="C127" i="2"/>
  <c r="E33" i="13"/>
  <c r="D35" i="13" s="1"/>
  <c r="C28" i="10"/>
  <c r="D22" i="10" s="1"/>
  <c r="C114" i="2"/>
  <c r="L256" i="1"/>
  <c r="L270" i="1" s="1"/>
  <c r="G631" i="1" s="1"/>
  <c r="J631" i="1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E144" i="2" l="1"/>
  <c r="H666" i="1"/>
  <c r="I659" i="1"/>
  <c r="D33" i="13"/>
  <c r="D36" i="13" s="1"/>
  <c r="F663" i="1"/>
  <c r="F666" i="1" s="1"/>
  <c r="G671" i="1"/>
  <c r="C5" i="10" s="1"/>
  <c r="I663" i="1"/>
  <c r="I671" i="1" s="1"/>
  <c r="C7" i="10" s="1"/>
  <c r="C144" i="2"/>
  <c r="D18" i="10"/>
  <c r="D17" i="10"/>
  <c r="D12" i="10"/>
  <c r="D27" i="10"/>
  <c r="D24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H655" i="1"/>
  <c r="C41" i="10"/>
  <c r="D38" i="10" s="1"/>
  <c r="I666" i="1" l="1"/>
  <c r="F671" i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<sst xmlns="http://schemas.openxmlformats.org/spreadsheetml/2006/main" count="3955" uniqueCount="919">
  <si>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</si>
  <si>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</si>
  <si>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</si>
  <si>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</si>
  <si>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</si>
  <si>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</si>
  <si>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</si>
  <si>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</si>
  <si>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</si>
  <si>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</si>
  <si>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</si>
  <si>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</si>
  <si>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</si>
  <si>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</si>
  <si>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</si>
  <si>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</si>
  <si>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</si>
  <si>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</si>
  <si>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</si>
  <si>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</si>
  <si>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</si>
  <si>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</si>
  <si>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</si>
  <si>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</si>
  <si>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</si>
  <si>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</si>
  <si>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</si>
  <si>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</si>
  <si>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</si>
  <si>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</si>
  <si>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</si>
  <si>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</si>
  <si>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</si>
  <si>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</si>
  <si>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</si>
  <si>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</si>
  <si>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</si>
  <si>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</si>
  <si>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</si>
  <si>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</si>
  <si>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</si>
  <si>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</si>
  <si>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</si>
  <si>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</si>
  <si>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</si>
  <si>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</si>
  <si>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</si>
  <si>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</si>
  <si>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</si>
  <si>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</si>
  <si>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</si>
  <si>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</si>
  <si>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</si>
  <si>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</si>
  <si>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</si>
  <si>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</si>
  <si>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</si>
  <si>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</si>
  <si>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</si>
  <si>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</si>
  <si>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</si>
  <si>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</si>
  <si>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</si>
  <si>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</si>
  <si>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</si>
  <si>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</si>
  <si>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</si>
  <si>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</si>
  <si>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</si>
  <si>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</si>
  <si>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</si>
  <si>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</si>
  <si>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</si>
  <si>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</si>
  <si>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</si>
  <si>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</si>
  <si>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</si>
  <si>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</si>
  <si>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</si>
  <si>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</si>
  <si>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</si>
  <si>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</si>
  <si>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</si>
  <si>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</si>
  <si>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</si>
  <si>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</si>
  <si>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</si>
  <si>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</si>
  <si>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</si>
  <si>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</si>
  <si>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</si>
  <si>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</si>
  <si>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</si>
  <si>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</si>
  <si>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</si>
  <si>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</si>
  <si>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</si>
  <si>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</si>
  <si>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</si>
  <si>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</si>
  <si>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</si>
  <si>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</si>
  <si>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</si>
  <si>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</si>
  <si>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</si>
  <si>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</si>
  <si>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</si>
  <si>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</si>
  <si>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</si>
  <si>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</si>
  <si>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</si>
  <si>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</si>
  <si>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</si>
  <si>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</si>
  <si>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</si>
  <si>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</si>
  <si>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</si>
  <si>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</si>
  <si>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</si>
  <si>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</si>
  <si>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</si>
  <si>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</si>
  <si>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</si>
  <si>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</si>
  <si>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</si>
  <si>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</si>
  <si>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</si>
  <si>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</si>
  <si>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</si>
  <si>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</si>
  <si>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</si>
  <si>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</si>
  <si>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</si>
  <si>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</si>
  <si>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</si>
  <si>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</si>
  <si>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</si>
  <si>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</si>
  <si>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</si>
  <si>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</si>
  <si>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</si>
  <si>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</si>
  <si>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</si>
  <si>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</si>
  <si>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</si>
  <si>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</si>
  <si>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</si>
  <si>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</si>
  <si>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</si>
  <si>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</si>
  <si>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</si>
  <si>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</si>
  <si>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</si>
  <si>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</si>
  <si>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</si>
  <si>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</si>
  <si>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</si>
  <si>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</si>
  <si>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</si>
  <si>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</si>
  <si>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</si>
  <si>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</si>
  <si>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</si>
  <si>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</si>
  <si>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</si>
  <si>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</si>
  <si>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</si>
  <si>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</si>
  <si>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</si>
  <si>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</si>
  <si>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</si>
  <si>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</si>
  <si>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</si>
  <si>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</si>
  <si>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</si>
  <si>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</si>
  <si>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</si>
  <si>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</si>
  <si>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</si>
  <si>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</si>
  <si>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</si>
  <si>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</si>
  <si>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</si>
  <si>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</si>
  <si>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</si>
  <si>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</si>
  <si>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</si>
  <si>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</si>
  <si>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</si>
  <si>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</si>
  <si>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</si>
  <si>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</si>
  <si>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</si>
  <si>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</si>
  <si>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</si>
  <si>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</si>
  <si>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</si>
  <si>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</si>
  <si>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</si>
  <si>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</si>
  <si>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</si>
  <si>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</si>
  <si>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</si>
  <si>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</si>
  <si>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</si>
  <si>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</si>
  <si>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</si>
  <si>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</si>
  <si>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</si>
  <si>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</si>
  <si>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</si>
  <si>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</si>
  <si>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</si>
  <si>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</si>
  <si>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</si>
  <si>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</si>
  <si>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</si>
  <si>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</si>
  <si>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</si>
  <si>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</si>
  <si>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</si>
  <si>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</si>
  <si>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</si>
  <si>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</si>
  <si>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</si>
  <si>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</si>
  <si>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</si>
  <si>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</si>
  <si>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</si>
  <si>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</si>
  <si>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</si>
  <si>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</si>
  <si>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</si>
  <si>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</si>
  <si>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</si>
  <si>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</si>
  <si>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</si>
  <si>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</si>
  <si>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</si>
  <si>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</si>
  <si>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</si>
  <si>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</si>
  <si>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</si>
  <si>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</si>
  <si>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</si>
  <si>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</si>
  <si>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</si>
  <si>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</si>
  <si>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</si>
  <si>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</si>
  <si>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</si>
  <si>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</si>
  <si>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</si>
  <si>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</si>
  <si>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</si>
  <si>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</si>
  <si>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</si>
  <si>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</si>
  <si>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</si>
  <si>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</si>
  <si>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</si>
  <si>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</si>
  <si>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</si>
  <si>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</si>
  <si>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</si>
  <si>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</si>
  <si>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</si>
  <si>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</si>
  <si>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</si>
  <si>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</si>
  <si>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</si>
  <si>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</si>
  <si>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</si>
  <si>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</si>
  <si>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</si>
  <si>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</si>
  <si>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</si>
  <si>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</si>
  <si>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</si>
  <si>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</si>
  <si>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</si>
  <si>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</si>
  <si>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</si>
  <si>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</si>
  <si>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</si>
  <si>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</si>
  <si>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</si>
  <si>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</si>
  <si>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</si>
  <si>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</si>
  <si>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</si>
  <si>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</si>
  <si>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</si>
  <si>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</si>
  <si>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</si>
  <si>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</si>
  <si>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</si>
  <si>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</si>
  <si>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</si>
  <si>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</si>
  <si>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</si>
  <si>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</si>
  <si>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</si>
  <si>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</si>
  <si>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</si>
  <si>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</si>
  <si>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</si>
  <si>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</si>
  <si>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</si>
  <si>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</si>
  <si>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</si>
  <si>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</si>
  <si>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</si>
  <si>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</si>
  <si>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</si>
  <si>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</si>
  <si>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</si>
  <si>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</si>
  <si>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</si>
  <si>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</si>
  <si>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</si>
  <si>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</si>
  <si>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</si>
  <si>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</si>
  <si>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</si>
  <si>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</si>
  <si>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</si>
  <si>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</si>
  <si>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</si>
  <si>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</si>
  <si>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</si>
  <si>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</si>
  <si>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</si>
  <si>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</si>
  <si>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</si>
  <si>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</si>
  <si>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</si>
  <si>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</si>
  <si>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</si>
  <si>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</si>
  <si>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</si>
  <si>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</si>
  <si>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</si>
  <si>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</si>
  <si>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</si>
  <si>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</si>
  <si>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</si>
  <si>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</si>
  <si>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</si>
  <si>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</si>
  <si>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</si>
  <si>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</si>
  <si>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</si>
  <si>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</si>
  <si>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</si>
  <si>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</si>
  <si>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</si>
  <si>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</si>
  <si>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</si>
  <si>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</si>
  <si>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</si>
  <si>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</si>
  <si>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</si>
  <si>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</si>
  <si>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</si>
  <si>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</si>
  <si>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</si>
  <si>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</si>
  <si>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</si>
  <si>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</si>
  <si>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</si>
  <si>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</si>
  <si>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</si>
  <si>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</si>
  <si>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</si>
  <si>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</si>
  <si>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</si>
  <si>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</si>
  <si>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</si>
  <si>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</si>
  <si>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</si>
  <si>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</si>
  <si>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</si>
  <si>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</si>
  <si>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</si>
  <si>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</si>
  <si>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</si>
  <si>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</si>
  <si>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</si>
  <si>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</si>
  <si>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</si>
  <si>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</si>
  <si>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</si>
  <si>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</si>
  <si>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</si>
  <si>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</si>
  <si>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</si>
  <si>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</si>
  <si>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</si>
  <si>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</si>
  <si>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</si>
  <si>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</si>
  <si>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</si>
  <si>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</si>
  <si>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</si>
  <si>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</si>
  <si>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</si>
  <si>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</si>
  <si>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</si>
  <si>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</si>
  <si>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</si>
  <si>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</si>
  <si>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</si>
  <si>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</si>
  <si>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</si>
  <si>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</si>
  <si>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</si>
  <si>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</si>
  <si>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</si>
  <si>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</si>
  <si>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</si>
  <si>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</si>
  <si>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</si>
  <si>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</si>
  <si>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</si>
  <si>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</si>
  <si>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</si>
  <si>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</si>
  <si>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</si>
  <si>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</si>
  <si>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</si>
  <si>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</si>
  <si>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</si>
  <si>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</si>
  <si>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</si>
  <si>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</si>
  <si>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</si>
  <si>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</si>
  <si>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</si>
  <si>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</si>
  <si>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</si>
  <si>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</si>
  <si>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</si>
  <si>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</si>
  <si>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</si>
  <si>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</si>
  <si>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</si>
  <si>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</si>
  <si>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</si>
  <si>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</si>
  <si>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</si>
  <si>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</si>
  <si>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</si>
  <si>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</si>
  <si>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</si>
  <si>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</si>
  <si>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</si>
  <si>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</si>
  <si>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</si>
  <si>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</si>
  <si>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</si>
  <si>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</si>
  <si>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</si>
  <si>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</si>
  <si>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</si>
  <si>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</si>
  <si>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</si>
  <si>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</si>
  <si>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</si>
  <si>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</si>
  <si>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</si>
  <si>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</si>
  <si>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</si>
  <si>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</si>
  <si>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</si>
  <si>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</si>
  <si>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</si>
  <si>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</si>
  <si>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</si>
  <si>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</si>
  <si>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</si>
  <si>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</si>
  <si>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</si>
  <si>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</si>
  <si>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</si>
  <si>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</si>
  <si>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</si>
  <si>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</si>
  <si>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</si>
  <si>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</si>
  <si>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</si>
  <si>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</si>
  <si>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</si>
  <si>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</si>
  <si>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</si>
  <si>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</si>
  <si>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</si>
  <si>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</si>
  <si>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</si>
  <si>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</si>
  <si>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</si>
  <si>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</si>
  <si>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</si>
  <si>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</si>
  <si>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</si>
  <si>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</si>
  <si>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</si>
  <si>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</si>
  <si>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</si>
  <si>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</si>
  <si>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</si>
  <si>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</si>
  <si>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</si>
  <si>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</si>
  <si>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</si>
  <si>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</si>
  <si>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</si>
  <si>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</si>
  <si>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</si>
  <si>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</si>
  <si>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</si>
  <si>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</si>
  <si>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</si>
  <si>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</si>
  <si>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</si>
  <si>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</si>
  <si>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</si>
  <si>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</si>
  <si>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</si>
  <si>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</si>
  <si>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</si>
  <si>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</si>
  <si>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</si>
  <si>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</si>
  <si>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</si>
  <si>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</si>
  <si>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</si>
  <si>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</si>
  <si>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</si>
  <si>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</si>
  <si>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</si>
  <si>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</si>
  <si>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</si>
  <si>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</si>
  <si>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</si>
  <si>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</si>
  <si>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</si>
  <si>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</si>
  <si>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</si>
  <si>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</si>
  <si>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</si>
  <si>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</si>
  <si>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</si>
  <si>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</si>
  <si>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</si>
  <si>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</si>
  <si>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</si>
  <si>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</si>
  <si>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</si>
  <si>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</si>
  <si>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</si>
  <si>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</si>
  <si>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</si>
  <si>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</si>
  <si>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</si>
  <si>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</si>
  <si>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</si>
  <si>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</si>
  <si>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</si>
  <si>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</si>
  <si>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</si>
  <si>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</si>
  <si>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</si>
  <si>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</si>
  <si>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</si>
  <si>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</si>
  <si>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</si>
  <si>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</si>
  <si>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</si>
  <si>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</si>
  <si>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</si>
  <si>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</si>
  <si>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</si>
  <si>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</si>
  <si>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</si>
  <si>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</si>
  <si>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</si>
  <si>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</si>
  <si>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</si>
  <si>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</si>
  <si>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</si>
  <si>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</si>
  <si>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</si>
  <si>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</si>
  <si>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</si>
  <si>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</si>
  <si>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</si>
  <si>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</si>
  <si>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</si>
  <si>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</si>
  <si>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</si>
  <si>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</si>
  <si>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</si>
  <si>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</si>
  <si>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</si>
  <si>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</si>
  <si>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</si>
  <si>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</si>
  <si>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</si>
  <si>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</si>
  <si>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</si>
  <si>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</si>
  <si>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</si>
  <si>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</si>
  <si>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</si>
  <si>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</si>
  <si>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</si>
  <si>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</si>
  <si>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</si>
  <si>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</si>
  <si>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</si>
  <si>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</si>
  <si>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</si>
  <si>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</si>
  <si>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</si>
  <si>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</si>
  <si>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</si>
  <si>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</si>
  <si>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</si>
  <si>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</si>
  <si>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</si>
  <si>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</si>
  <si>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</si>
  <si>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</si>
  <si>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</si>
  <si>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</si>
  <si>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</si>
  <si>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</si>
  <si>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</si>
  <si>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</si>
  <si>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</si>
  <si>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</si>
  <si>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</si>
  <si>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</si>
  <si>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</si>
  <si>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</si>
  <si>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</si>
  <si>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</si>
  <si>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</si>
  <si>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</si>
  <si>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</si>
  <si>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</si>
  <si>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</si>
  <si>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</si>
  <si>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</si>
  <si>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</si>
  <si>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</si>
  <si>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</si>
  <si>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</si>
  <si>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</si>
  <si>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</si>
  <si>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</si>
  <si>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</si>
  <si>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</si>
  <si>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</si>
  <si>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</si>
  <si>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</si>
  <si>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</si>
  <si>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</si>
  <si>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</si>
  <si>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</si>
  <si>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</si>
  <si>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</si>
  <si>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</si>
  <si>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</si>
  <si>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</si>
  <si>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</si>
  <si>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</si>
  <si>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</si>
  <si>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</si>
  <si>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</si>
  <si>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</si>
  <si>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</si>
  <si>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</si>
  <si>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</si>
  <si>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</si>
  <si>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</si>
  <si>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</si>
  <si>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</si>
  <si>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</si>
  <si>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</si>
  <si>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</si>
  <si>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</si>
  <si>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</si>
  <si>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</si>
  <si>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</si>
  <si>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</si>
  <si>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</si>
  <si>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</si>
  <si>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</si>
  <si>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</si>
  <si>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</si>
  <si>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</si>
  <si>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</si>
  <si>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</si>
  <si>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</si>
  <si>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</si>
  <si>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</si>
  <si>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</si>
  <si>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</si>
  <si>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</si>
  <si>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</si>
  <si>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</si>
  <si>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</si>
  <si>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</si>
  <si>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</si>
  <si>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</si>
  <si>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</si>
  <si>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</si>
  <si>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</si>
  <si>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</si>
  <si>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</si>
  <si>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</si>
  <si>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</si>
  <si>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</si>
  <si>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</si>
  <si>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</si>
  <si>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</si>
  <si>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</si>
  <si>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</si>
  <si>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</si>
  <si>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</si>
  <si>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</si>
  <si>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</si>
  <si>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</si>
  <si>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</si>
  <si>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</si>
  <si>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</si>
  <si>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</si>
  <si>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</si>
  <si>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</si>
  <si>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</si>
  <si>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</si>
  <si>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</si>
  <si>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</si>
  <si>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</si>
  <si>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</si>
  <si>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</si>
  <si>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</si>
  <si>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</si>
  <si>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</si>
  <si>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</si>
  <si>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</si>
  <si>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</si>
  <si>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</si>
  <si>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</si>
  <si>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</si>
  <si>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</si>
  <si>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</si>
  <si>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</si>
  <si>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</si>
  <si>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</si>
  <si>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</si>
  <si>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</si>
  <si>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</si>
  <si>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</si>
  <si>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</si>
  <si>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</si>
  <si>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</si>
  <si>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</si>
  <si>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</si>
  <si>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</si>
  <si>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</si>
  <si>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</si>
  <si>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</si>
  <si>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</si>
  <si>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</si>
  <si>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</si>
  <si>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</si>
  <si>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</si>
  <si>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</si>
  <si>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</si>
  <si>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</si>
  <si>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</si>
  <si>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</si>
  <si>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</si>
  <si>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</si>
  <si>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</si>
  <si>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</si>
  <si>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</si>
  <si>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</si>
  <si>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</si>
  <si>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</si>
  <si>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</si>
  <si>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</si>
  <si>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</si>
  <si>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</si>
  <si>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</si>
  <si>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</si>
  <si>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</si>
  <si>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</si>
  <si>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</si>
  <si>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</si>
  <si>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</si>
  <si>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</si>
  <si>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</si>
  <si>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</si>
  <si>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</si>
  <si>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</si>
  <si>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</si>
  <si>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</si>
  <si>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</si>
  <si>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</si>
  <si>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</si>
  <si>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</si>
  <si>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</si>
  <si>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</si>
  <si>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</si>
  <si>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</si>
  <si>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</si>
  <si>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</si>
  <si>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</si>
  <si>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</si>
  <si>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</si>
  <si>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</si>
  <si>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</si>
  <si>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</si>
  <si>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</si>
  <si>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</si>
  <si>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</si>
  <si>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</si>
  <si>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</si>
  <si>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</si>
  <si>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</si>
  <si>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</si>
  <si>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</si>
  <si>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</si>
  <si>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</si>
  <si>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</si>
  <si>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</si>
  <si>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</si>
  <si>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</si>
  <si>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</si>
  <si>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</si>
  <si>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</si>
  <si>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</si>
  <si>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</si>
  <si>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</si>
  <si>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</si>
  <si>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</si>
  <si>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</si>
  <si>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</si>
  <si>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</si>
  <si>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</si>
  <si>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</si>
  <si>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</si>
  <si>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</si>
  <si>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</si>
  <si>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</si>
  <si>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</si>
  <si>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</si>
  <si>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</si>
  <si>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</si>
  <si>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</si>
  <si>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</si>
  <si>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</si>
  <si>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</si>
  <si>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</si>
  <si>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</si>
  <si>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</si>
  <si>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</si>
  <si>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</si>
  <si>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</si>
  <si>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</si>
  <si>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</si>
  <si>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</si>
  <si>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</si>
  <si>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</si>
  <si>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</si>
  <si>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</si>
  <si>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</si>
  <si>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</si>
  <si>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</si>
  <si>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</si>
  <si>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</si>
  <si>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</si>
  <si>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</si>
  <si>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</si>
  <si>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</si>
  <si>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</si>
  <si>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</si>
  <si>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</si>
  <si>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</si>
  <si>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</si>
  <si>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</si>
  <si>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</si>
  <si>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</si>
  <si>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</si>
  <si>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</si>
  <si>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</si>
  <si>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</si>
  <si>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</si>
  <si>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</si>
  <si>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</si>
  <si>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</si>
  <si>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</si>
  <si>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</si>
  <si>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</si>
  <si>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</si>
  <si>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12/97</t>
  </si>
  <si>
    <t>01/13</t>
  </si>
  <si>
    <t>07/06</t>
  </si>
  <si>
    <t>07/16</t>
  </si>
  <si>
    <t>01/10</t>
  </si>
  <si>
    <t>$2,436.92 RLIS FY12 revenue not included as a receivable in FY12.  Revenue received 11/16/12.</t>
  </si>
  <si>
    <t>$100 LEA Grant not carried forward from FY12 - removed as per auditors</t>
  </si>
  <si>
    <t>08/25</t>
  </si>
  <si>
    <t>Debt (4) City paid remaining Bank of NH Bond  with NH Municipal Bond Bank extending bond 24 years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</si>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</sst>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B:\DOE-25\FY2011-2012\Final\TOT08.xlsx" TargetMode="External"/><Relationship Id="rId13" Type="http://schemas.openxmlformats.org/officeDocument/2006/relationships/externalLinkPath" Target="file:///B:\DOE-25\FY2011-2012\Final\TOT13.xlsx" TargetMode="External"/><Relationship Id="rId18" Type="http://schemas.openxmlformats.org/officeDocument/2006/relationships/externalLinkPath" Target="file:///B:\DOE-25\FY2011-2012\Final\TOT18.xlsx" TargetMode="External"/><Relationship Id="rId3" Type="http://schemas.openxmlformats.org/officeDocument/2006/relationships/externalLinkPath" Target="file:///B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B:\DOE-25\FY2011-2012\Final\TOT07.xlsx" TargetMode="External"/><Relationship Id="rId12" Type="http://schemas.openxmlformats.org/officeDocument/2006/relationships/externalLinkPath" Target="file:///B:\DOE-25\FY2011-2012\Final\TOT12.xlsx" TargetMode="External"/><Relationship Id="rId17" Type="http://schemas.openxmlformats.org/officeDocument/2006/relationships/externalLinkPath" Target="file:///B:\DOE-25\FY2011-2012\Final\TOT17.xlsx" TargetMode="External"/><Relationship Id="rId2" Type="http://schemas.openxmlformats.org/officeDocument/2006/relationships/externalLinkPath" Target="file:///B:\DOE-25\FY2011-2012\Final\TOT02.xlsx" TargetMode="External"/><Relationship Id="rId16" Type="http://schemas.openxmlformats.org/officeDocument/2006/relationships/externalLinkPath" Target="file:///B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B:\DOE-25\FY2011-2012\Final\TOT01.xlsx" TargetMode="External"/><Relationship Id="rId6" Type="http://schemas.openxmlformats.org/officeDocument/2006/relationships/externalLinkPath" Target="file:///B:\DOE-25\FY2011-2012\Final\TOT06.xlsx" TargetMode="External"/><Relationship Id="rId11" Type="http://schemas.openxmlformats.org/officeDocument/2006/relationships/externalLinkPath" Target="file:///B:\DOE-25\FY2011-2012\Final\TOT11.xlsx" TargetMode="External"/><Relationship Id="rId5" Type="http://schemas.openxmlformats.org/officeDocument/2006/relationships/externalLinkPath" Target="file:///B:\DOE-25\FY2011-2012\Final\TOT05.xlsx" TargetMode="External"/><Relationship Id="rId15" Type="http://schemas.openxmlformats.org/officeDocument/2006/relationships/externalLinkPath" Target="file:///B:\DOE-25\FY2011-2012\Final\TOT15.xlsx" TargetMode="External"/><Relationship Id="rId10" Type="http://schemas.openxmlformats.org/officeDocument/2006/relationships/externalLinkPath" Target="file:///B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B:\DOE-25\FY2011-2012\Final\TOT04.xlsx" TargetMode="External"/><Relationship Id="rId9" Type="http://schemas.openxmlformats.org/officeDocument/2006/relationships/externalLinkPath" Target="file:///B:\DOE-25\FY2011-2012\Final\TOT09.xlsx" TargetMode="External"/><Relationship Id="rId14" Type="http://schemas.openxmlformats.org/officeDocument/2006/relationships/externalLinkPath" Target="file:///B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624" zoomScale="80" zoomScaleNormal="80" workbookViewId="0">
      <selection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51</v>
      </c>
      <c r="C2" s="21">
        <v>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6911.32</v>
      </c>
      <c r="G9" s="18">
        <f>19765.7</f>
        <v>19765.7</v>
      </c>
      <c r="H9" s="18">
        <f>21519.54-6911.32</f>
        <v>14608.220000000001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6911.32</v>
      </c>
      <c r="G19" s="41">
        <f>SUM(G9:G18)</f>
        <v>19765.7</v>
      </c>
      <c r="H19" s="41">
        <f>SUM(H9:H18)</f>
        <v>14608.220000000001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f>6911.32</f>
        <v>6911.32</v>
      </c>
      <c r="G47" s="18">
        <f>19765.7</f>
        <v>19765.7</v>
      </c>
      <c r="H47" s="18">
        <v>14608.22</v>
      </c>
      <c r="I47" s="18"/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6911.32</v>
      </c>
      <c r="G50" s="41">
        <f>SUM(G35:G49)</f>
        <v>19765.7</v>
      </c>
      <c r="H50" s="41">
        <f>SUM(H35:H49)</f>
        <v>14608.22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6911.32</v>
      </c>
      <c r="G51" s="41">
        <f>G50+G32</f>
        <v>19765.7</v>
      </c>
      <c r="H51" s="41">
        <f>H50+H32</f>
        <v>14608.22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2826552.24+126204.46</f>
        <v>2952756.7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2952756.7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1311843.58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45763.4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1357606.98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3000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3000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215260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1435.3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17500+12000+3400+1750+2000</f>
        <v>36650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42.3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13696.42</v>
      </c>
      <c r="G104" s="18"/>
      <c r="H104" s="18">
        <v>7500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15174.02</v>
      </c>
      <c r="G110" s="41">
        <f>SUM(G95:G109)</f>
        <v>215260</v>
      </c>
      <c r="H110" s="41">
        <f>SUM(H95:H109)</f>
        <v>44150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4328537.6999999993</v>
      </c>
      <c r="G111" s="41">
        <f>G59+G110</f>
        <v>215260</v>
      </c>
      <c r="H111" s="41">
        <f>H59+H78+H93+H110</f>
        <v>44150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10756851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807002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11563853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311512.83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59712.03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63084.61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10811.06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434309.47</v>
      </c>
      <c r="G135" s="41">
        <f>SUM(G122:G134)</f>
        <v>10811.06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11998162.470000001</v>
      </c>
      <c r="G139" s="41">
        <f>G120+SUM(G135:G136)</f>
        <v>10811.06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782264.78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189034.3+173466.04+17355.26+56146.56</f>
        <v>436002.16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1993.59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382379.18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10002.95+359608.73</f>
        <v>369611.68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190034.41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190034.41</v>
      </c>
      <c r="G161" s="41">
        <f>SUM(G149:G160)</f>
        <v>382379.18</v>
      </c>
      <c r="H161" s="41">
        <f>SUM(H149:H160)</f>
        <v>1589872.21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22875.39</v>
      </c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29865.84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242775.64</v>
      </c>
      <c r="G168" s="41">
        <f>G146+G161+SUM(G162:G167)</f>
        <v>382379.18</v>
      </c>
      <c r="H168" s="41">
        <f>H146+H161+SUM(H162:H167)</f>
        <v>1589872.21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16569475.810000001</v>
      </c>
      <c r="G192" s="47">
        <f>G111+G139+G168+G191</f>
        <v>608450.24</v>
      </c>
      <c r="H192" s="47">
        <f>H111+H139+H168+H191</f>
        <v>1634022.21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33343.81+1695984.43+4000+8000+780</f>
        <v>1742108.24</v>
      </c>
      <c r="G196" s="18">
        <f>31495.28+637946.81+8778.92</f>
        <v>678221.01000000013</v>
      </c>
      <c r="H196" s="18">
        <f>21839.74+691</f>
        <v>22530.74</v>
      </c>
      <c r="I196" s="18">
        <f>7428.62+53755.23+2847</f>
        <v>64030.850000000006</v>
      </c>
      <c r="J196" s="18">
        <f>30832.25+16128.02+2499</f>
        <v>49459.270000000004</v>
      </c>
      <c r="K196" s="18"/>
      <c r="L196" s="19">
        <f>SUM(F196:K196)</f>
        <v>2556350.1100000003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23885.43+15112.35+600346.08+1196.34</f>
        <v>640540.19999999995</v>
      </c>
      <c r="G197" s="18">
        <f>1156.29+3738.3+145417.76+91.54+3227.85</f>
        <v>153631.74000000002</v>
      </c>
      <c r="H197" s="18">
        <f>6023.49+28579.81+77703</f>
        <v>112306.3</v>
      </c>
      <c r="I197" s="18">
        <f>213.95+2095.45+710.82+215</f>
        <v>3235.22</v>
      </c>
      <c r="J197" s="18">
        <f>448+2655</f>
        <v>3103</v>
      </c>
      <c r="K197" s="18"/>
      <c r="L197" s="19">
        <f>SUM(F197:K197)</f>
        <v>912816.46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17806.84+25647</f>
        <v>43453.84</v>
      </c>
      <c r="G199" s="18">
        <f>1879.2+3515.01+218.98</f>
        <v>5613.19</v>
      </c>
      <c r="H199" s="18">
        <f>515+39435+2023.76</f>
        <v>41973.760000000002</v>
      </c>
      <c r="I199" s="18">
        <f>498.61</f>
        <v>498.61</v>
      </c>
      <c r="J199" s="18"/>
      <c r="K199" s="18">
        <f>150</f>
        <v>150</v>
      </c>
      <c r="L199" s="19">
        <f>SUM(F199:K199)</f>
        <v>91689.400000000009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83281.36+79174.78+9817.67+114174+59538.47+2000</f>
        <v>347986.28</v>
      </c>
      <c r="G201" s="18">
        <f>41419.68+24357.61+751.07+38734.01+18181.93+1753.59</f>
        <v>125197.89000000001</v>
      </c>
      <c r="H201" s="18">
        <f>207+135832.37+7416.75+355</f>
        <v>143811.12</v>
      </c>
      <c r="I201" s="18">
        <f>507.36+801.12+1560.4+675.3</f>
        <v>3544.1800000000003</v>
      </c>
      <c r="J201" s="18"/>
      <c r="K201" s="18">
        <f>310</f>
        <v>310</v>
      </c>
      <c r="L201" s="19">
        <f t="shared" ref="L201:L207" si="0">SUM(F201:K201)</f>
        <v>620849.47000000009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83285.42</f>
        <v>83285.42</v>
      </c>
      <c r="G202" s="18">
        <f>7550.5+27574.9+419.7</f>
        <v>35545.1</v>
      </c>
      <c r="H202" s="18">
        <f>1320+1452.56</f>
        <v>2772.56</v>
      </c>
      <c r="I202" s="18">
        <f>5988.77</f>
        <v>5988.77</v>
      </c>
      <c r="J202" s="18">
        <f>495.95</f>
        <v>495.95</v>
      </c>
      <c r="K202" s="18"/>
      <c r="L202" s="19">
        <f t="shared" si="0"/>
        <v>128087.79999999999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56969.72+44907.48+1800</f>
        <v>103677.20000000001</v>
      </c>
      <c r="G203" s="18">
        <f>22856.91+8771.52+522.46</f>
        <v>32150.89</v>
      </c>
      <c r="H203" s="18">
        <f>2544.1+10399.08+3435.26+22832.57</f>
        <v>39211.01</v>
      </c>
      <c r="I203" s="18">
        <f>2889.93+2165.26</f>
        <v>5055.1900000000005</v>
      </c>
      <c r="J203" s="18">
        <f>1167.83</f>
        <v>1167.83</v>
      </c>
      <c r="K203" s="18">
        <f>6737.62+641.9+192.6</f>
        <v>7572.12</v>
      </c>
      <c r="L203" s="19">
        <f t="shared" si="0"/>
        <v>188834.24000000002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176309.65</f>
        <v>176309.65</v>
      </c>
      <c r="G204" s="18">
        <f>60337.92+888.47</f>
        <v>61226.39</v>
      </c>
      <c r="H204" s="18">
        <f>38655.92</f>
        <v>38655.919999999998</v>
      </c>
      <c r="I204" s="18">
        <f>2534.88</f>
        <v>2534.88</v>
      </c>
      <c r="J204" s="18"/>
      <c r="K204" s="18">
        <f>1440</f>
        <v>1440</v>
      </c>
      <c r="L204" s="19">
        <f t="shared" si="0"/>
        <v>280166.83999999997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56641.49</f>
        <v>56641.49</v>
      </c>
      <c r="G205" s="18">
        <f>22913.02+285.43</f>
        <v>23198.45</v>
      </c>
      <c r="H205" s="18">
        <f>389.01+9696.18</f>
        <v>10085.19</v>
      </c>
      <c r="I205" s="18"/>
      <c r="J205" s="18"/>
      <c r="K205" s="18">
        <f>1307.43</f>
        <v>1307.43</v>
      </c>
      <c r="L205" s="19">
        <f t="shared" si="0"/>
        <v>91232.56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66050.74+80629.27</f>
        <v>146680.01</v>
      </c>
      <c r="G206" s="18">
        <f>25398.31+50151.28+739.16</f>
        <v>76288.75</v>
      </c>
      <c r="H206" s="18">
        <f>132128.95+1442.62+626.26</f>
        <v>134197.83000000002</v>
      </c>
      <c r="I206" s="18">
        <f>44730.29+53553.18+11535.94</f>
        <v>109819.41</v>
      </c>
      <c r="J206" s="18">
        <f>13235.55</f>
        <v>13235.55</v>
      </c>
      <c r="K206" s="18"/>
      <c r="L206" s="19">
        <f t="shared" si="0"/>
        <v>480221.55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85224.09+1208.66+3432.87+8172.85+154.52+1774.23</f>
        <v>99967.22</v>
      </c>
      <c r="G207" s="18">
        <f>19117.41+92.47+262.43+624.14+11.81+135.59+503.76</f>
        <v>20747.61</v>
      </c>
      <c r="H207" s="18">
        <f>21409.87+3725.44</f>
        <v>25135.309999999998</v>
      </c>
      <c r="I207" s="18">
        <f>48022.1</f>
        <v>48022.1</v>
      </c>
      <c r="J207" s="18">
        <f>44515</f>
        <v>44515</v>
      </c>
      <c r="K207" s="18">
        <f>226.48</f>
        <v>226.48</v>
      </c>
      <c r="L207" s="19">
        <f t="shared" si="0"/>
        <v>238613.72000000003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3200.58</f>
        <v>3200.58</v>
      </c>
      <c r="G208" s="18">
        <f>248.05+16.13</f>
        <v>264.18</v>
      </c>
      <c r="H208" s="18"/>
      <c r="I208" s="18"/>
      <c r="J208" s="18"/>
      <c r="K208" s="18"/>
      <c r="L208" s="19">
        <f>SUM(F208:K208)</f>
        <v>3464.7599999999998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3443850.1300000004</v>
      </c>
      <c r="G210" s="41">
        <f t="shared" si="1"/>
        <v>1212085.2</v>
      </c>
      <c r="H210" s="41">
        <f t="shared" si="1"/>
        <v>570679.74</v>
      </c>
      <c r="I210" s="41">
        <f t="shared" si="1"/>
        <v>242729.21000000005</v>
      </c>
      <c r="J210" s="41">
        <f t="shared" si="1"/>
        <v>111976.6</v>
      </c>
      <c r="K210" s="41">
        <f t="shared" si="1"/>
        <v>11006.029999999999</v>
      </c>
      <c r="L210" s="41">
        <f t="shared" si="1"/>
        <v>5592326.9099999992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23084.18+1299017.36+4000+540</f>
        <v>1326641.54</v>
      </c>
      <c r="G214" s="18">
        <f>21804.43+559479.46+6685.3</f>
        <v>587969.19000000006</v>
      </c>
      <c r="H214" s="18">
        <f>15119.82+659.94</f>
        <v>15779.76</v>
      </c>
      <c r="I214" s="18">
        <f>5142.88+36076.67</f>
        <v>41219.549999999996</v>
      </c>
      <c r="J214" s="18">
        <f>21345.41+26226.54+3478</f>
        <v>51049.95</v>
      </c>
      <c r="K214" s="18">
        <f>1407</f>
        <v>1407</v>
      </c>
      <c r="L214" s="19">
        <f>SUM(F214:K214)</f>
        <v>2024066.99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5724.03+9403.24+496428.67+4000</f>
        <v>515555.94</v>
      </c>
      <c r="G215" s="18">
        <f>719.47+895.86+85213.81+2598.02</f>
        <v>89427.16</v>
      </c>
      <c r="H215" s="18">
        <f>3747.95+248731.34</f>
        <v>252479.29</v>
      </c>
      <c r="I215" s="18">
        <f>51.27+1489.49</f>
        <v>1540.76</v>
      </c>
      <c r="J215" s="18"/>
      <c r="K215" s="18"/>
      <c r="L215" s="19">
        <f>SUM(F215:K215)</f>
        <v>859003.15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9706.36+23115</f>
        <v>32821.360000000001</v>
      </c>
      <c r="G217" s="18">
        <f>1517.48+3004.24+165.4</f>
        <v>4687.119999999999</v>
      </c>
      <c r="H217" s="18">
        <f>432+10565+1401.06</f>
        <v>12398.06</v>
      </c>
      <c r="I217" s="18">
        <f>4872.2</f>
        <v>4872.2</v>
      </c>
      <c r="J217" s="18"/>
      <c r="K217" s="18">
        <f>25</f>
        <v>25</v>
      </c>
      <c r="L217" s="19">
        <f>SUM(F217:K217)</f>
        <v>54803.739999999991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13012.71+24096.67+63778.68+25516.53+2000</f>
        <v>128404.59</v>
      </c>
      <c r="G219" s="18">
        <f>6471.82+7413.19+26657.29+11034.72+647.06</f>
        <v>52224.08</v>
      </c>
      <c r="H219" s="18">
        <f>63+41841.22+1979.25+4725</f>
        <v>48608.47</v>
      </c>
      <c r="I219" s="18">
        <f>79.28+243.82+452.55+832.91</f>
        <v>1608.56</v>
      </c>
      <c r="J219" s="18">
        <f>317.52</f>
        <v>317.52</v>
      </c>
      <c r="K219" s="18">
        <f>565</f>
        <v>565</v>
      </c>
      <c r="L219" s="19">
        <f t="shared" ref="L219:L225" si="2">SUM(F219:K219)</f>
        <v>231728.21999999997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29291.5</f>
        <v>29291.5</v>
      </c>
      <c r="G220" s="18">
        <f>3150+16942.08+147.61</f>
        <v>20239.690000000002</v>
      </c>
      <c r="H220" s="18">
        <f>2859.38</f>
        <v>2859.38</v>
      </c>
      <c r="I220" s="18">
        <f>4845.71</f>
        <v>4845.71</v>
      </c>
      <c r="J220" s="18"/>
      <c r="K220" s="18"/>
      <c r="L220" s="19">
        <f t="shared" si="2"/>
        <v>57236.28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39440.57+27942.43+1120</f>
        <v>68503</v>
      </c>
      <c r="G221" s="18">
        <f>15824.01+5457.83+345.2</f>
        <v>21627.040000000001</v>
      </c>
      <c r="H221" s="18">
        <f>1761.3+7199.36+2137.5+15807.16</f>
        <v>26905.32</v>
      </c>
      <c r="I221" s="18">
        <f>2000.72+518.9</f>
        <v>2519.62</v>
      </c>
      <c r="J221" s="18">
        <f>808.5</f>
        <v>808.5</v>
      </c>
      <c r="K221" s="18">
        <f>4664.51+444.39+119.84</f>
        <v>5228.7400000000007</v>
      </c>
      <c r="L221" s="19">
        <f t="shared" si="2"/>
        <v>125592.22000000002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100656.72</f>
        <v>100656.72</v>
      </c>
      <c r="G222" s="18">
        <f>69517.34+507.24</f>
        <v>70024.58</v>
      </c>
      <c r="H222" s="18">
        <f>18024.13</f>
        <v>18024.13</v>
      </c>
      <c r="I222" s="18">
        <f>1203.46</f>
        <v>1203.46</v>
      </c>
      <c r="J222" s="18">
        <f>4919.77</f>
        <v>4919.7700000000004</v>
      </c>
      <c r="K222" s="18">
        <f>1310</f>
        <v>1310</v>
      </c>
      <c r="L222" s="19">
        <f t="shared" si="2"/>
        <v>196138.65999999997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f>39213.34</f>
        <v>39213.339999999997</v>
      </c>
      <c r="G223" s="18">
        <f>15862.86+197.61</f>
        <v>16060.470000000001</v>
      </c>
      <c r="H223" s="18">
        <f>269.32+6712.74</f>
        <v>6982.0599999999995</v>
      </c>
      <c r="I223" s="18"/>
      <c r="J223" s="18"/>
      <c r="K223" s="18">
        <f>905.15</f>
        <v>905.15</v>
      </c>
      <c r="L223" s="19">
        <f t="shared" si="2"/>
        <v>63161.02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45727.44+77065.96</f>
        <v>122793.40000000001</v>
      </c>
      <c r="G224" s="18">
        <f>17583.44+52107.18+618.79</f>
        <v>70309.409999999989</v>
      </c>
      <c r="H224" s="18">
        <f>91473.88+978.43+433.56</f>
        <v>92885.87</v>
      </c>
      <c r="I224" s="18">
        <f>30967.13+217397.1+7986.42</f>
        <v>256350.65000000002</v>
      </c>
      <c r="J224" s="18">
        <f>9163.07</f>
        <v>9163.07</v>
      </c>
      <c r="K224" s="18"/>
      <c r="L224" s="19">
        <f t="shared" si="2"/>
        <v>551502.4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45550.8+289.65+968.25+342.96+3796.46+2878.38</f>
        <v>53826.5</v>
      </c>
      <c r="G225" s="18">
        <f>10217.92+22.16+74.02+26.21+290.2+220.02+271.25</f>
        <v>11121.78</v>
      </c>
      <c r="H225" s="18">
        <f>11443.2+391.5+1991.18</f>
        <v>13825.880000000001</v>
      </c>
      <c r="I225" s="18">
        <f>25666.98</f>
        <v>25666.98</v>
      </c>
      <c r="J225" s="18">
        <f>23792.5</f>
        <v>23792.5</v>
      </c>
      <c r="K225" s="18">
        <f>121.06</f>
        <v>121.06</v>
      </c>
      <c r="L225" s="19">
        <f t="shared" si="2"/>
        <v>128354.7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2215.79</f>
        <v>2215.79</v>
      </c>
      <c r="G226" s="18">
        <f>171.72+11.17</f>
        <v>182.89</v>
      </c>
      <c r="H226" s="18"/>
      <c r="I226" s="18"/>
      <c r="J226" s="18"/>
      <c r="K226" s="18"/>
      <c r="L226" s="19">
        <f>SUM(F226:K226)</f>
        <v>2398.6799999999998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2419923.6800000002</v>
      </c>
      <c r="G228" s="41">
        <f>SUM(G214:G227)</f>
        <v>943873.41</v>
      </c>
      <c r="H228" s="41">
        <f>SUM(H214:H227)</f>
        <v>490748.22</v>
      </c>
      <c r="I228" s="41">
        <f>SUM(I214:I227)</f>
        <v>339827.49</v>
      </c>
      <c r="J228" s="41">
        <f>SUM(J214:J227)</f>
        <v>90051.31</v>
      </c>
      <c r="K228" s="41">
        <f t="shared" si="3"/>
        <v>9561.9500000000007</v>
      </c>
      <c r="L228" s="41">
        <f t="shared" si="3"/>
        <v>4293986.0599999996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29068.97+1666658.16+14000+680</f>
        <v>1710407.13</v>
      </c>
      <c r="G232" s="18">
        <f>27457.42+710737+8619.19</f>
        <v>746813.61</v>
      </c>
      <c r="H232" s="18">
        <f>19039.77+2985.75+13317.5</f>
        <v>35343.020000000004</v>
      </c>
      <c r="I232" s="18">
        <f>6476.22+59114.47+2548.16</f>
        <v>68138.850000000006</v>
      </c>
      <c r="J232" s="18">
        <f>26879.4+37499.51+2023.68</f>
        <v>66402.59</v>
      </c>
      <c r="K232" s="18">
        <f>859</f>
        <v>859</v>
      </c>
      <c r="L232" s="19">
        <f>SUM(F232:K232)</f>
        <v>2627964.1999999997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5724.03+9067.41+457423.96</f>
        <v>472215.4</v>
      </c>
      <c r="G233" s="18">
        <f>693.78+895.86+126585.36+2379.62</f>
        <v>130554.62</v>
      </c>
      <c r="H233" s="18">
        <f>3614.09+554627.86+77794.75</f>
        <v>636036.69999999995</v>
      </c>
      <c r="I233" s="18">
        <f>51.27+1309.86</f>
        <v>1361.1299999999999</v>
      </c>
      <c r="J233" s="18"/>
      <c r="K233" s="18"/>
      <c r="L233" s="19">
        <f>SUM(F233:K233)</f>
        <v>1240167.8499999999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403349.15+2000</f>
        <v>405349.15</v>
      </c>
      <c r="G234" s="18">
        <f>203687.41+2042.66</f>
        <v>205730.07</v>
      </c>
      <c r="H234" s="18">
        <f>2148.3</f>
        <v>2148.3000000000002</v>
      </c>
      <c r="I234" s="18">
        <f>46563.33</f>
        <v>46563.33</v>
      </c>
      <c r="J234" s="18">
        <f>1000</f>
        <v>1000</v>
      </c>
      <c r="K234" s="18"/>
      <c r="L234" s="19">
        <f>SUM(F234:K234)</f>
        <v>660790.85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19418.67+76905</f>
        <v>96323.67</v>
      </c>
      <c r="G235" s="18">
        <f>3645.6+10659.8+485.4</f>
        <v>14790.8</v>
      </c>
      <c r="H235" s="18">
        <f>38308.59+1764.3</f>
        <v>40072.89</v>
      </c>
      <c r="I235" s="18">
        <f>1034.35+15624.52</f>
        <v>16658.87</v>
      </c>
      <c r="J235" s="18">
        <f>5601.74</f>
        <v>5601.74</v>
      </c>
      <c r="K235" s="18">
        <f>7175.12</f>
        <v>7175.12</v>
      </c>
      <c r="L235" s="19">
        <f>SUM(F235:K235)</f>
        <v>180623.08999999997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33833.05+11474.61+19664.83+150148.72+28765.04</f>
        <v>243886.25000000003</v>
      </c>
      <c r="G237" s="18">
        <f>16826.74+3530.09+1504.41+65003.12+14371.1+1229.01</f>
        <v>102464.47</v>
      </c>
      <c r="H237" s="18">
        <f>30+24457.91+1479+13924.56+2280</f>
        <v>42171.47</v>
      </c>
      <c r="I237" s="18">
        <f>206.12+116.1+2642.11+1632.16</f>
        <v>4596.49</v>
      </c>
      <c r="J237" s="18">
        <f>1048.84</f>
        <v>1048.8399999999999</v>
      </c>
      <c r="K237" s="18">
        <f>874</f>
        <v>874</v>
      </c>
      <c r="L237" s="19">
        <f t="shared" ref="L237:L243" si="4">SUM(F237:K237)</f>
        <v>395041.52000000008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63837.09</f>
        <v>63837.09</v>
      </c>
      <c r="G238" s="18">
        <f>21750+28882.37+321.69</f>
        <v>50954.06</v>
      </c>
      <c r="H238" s="18">
        <f>3404.22+190+923.75</f>
        <v>4517.9699999999993</v>
      </c>
      <c r="I238" s="18">
        <f>3577.75+8137.61</f>
        <v>11715.36</v>
      </c>
      <c r="J238" s="18">
        <f>331.55</f>
        <v>331.55</v>
      </c>
      <c r="K238" s="18"/>
      <c r="L238" s="19">
        <f t="shared" si="4"/>
        <v>131356.03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49665.91+26944.49+94922.43+1080</f>
        <v>172612.83000000002</v>
      </c>
      <c r="G239" s="18">
        <f>19926.53+5262.91+32458.23+869.84</f>
        <v>58517.509999999995</v>
      </c>
      <c r="H239" s="18">
        <f>2217.93+9065.87+2061.16+6353.95+19905.31</f>
        <v>39604.22</v>
      </c>
      <c r="I239" s="18">
        <f>2519.42+518.9</f>
        <v>3038.32</v>
      </c>
      <c r="J239" s="18">
        <f>1018.11</f>
        <v>1018.11</v>
      </c>
      <c r="K239" s="18">
        <f>5873.83+1000+559.61+115.56+692</f>
        <v>8241</v>
      </c>
      <c r="L239" s="19">
        <f t="shared" si="4"/>
        <v>283031.99000000005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239595.68+2000</f>
        <v>241595.68</v>
      </c>
      <c r="G240" s="18">
        <f>62658.03+1217.46</f>
        <v>63875.49</v>
      </c>
      <c r="H240" s="18">
        <f>24610.45</f>
        <v>24610.45</v>
      </c>
      <c r="I240" s="18">
        <f>5007.44</f>
        <v>5007.4399999999996</v>
      </c>
      <c r="J240" s="18">
        <f>4038.8</f>
        <v>4038.8</v>
      </c>
      <c r="K240" s="18">
        <f>4545</f>
        <v>4545</v>
      </c>
      <c r="L240" s="19">
        <f t="shared" si="4"/>
        <v>343672.86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49379.76</f>
        <v>49379.76</v>
      </c>
      <c r="G241" s="18">
        <f>19975.45+248.84</f>
        <v>20224.29</v>
      </c>
      <c r="H241" s="18">
        <f>339.14+8453.08</f>
        <v>8792.2199999999993</v>
      </c>
      <c r="I241" s="18"/>
      <c r="J241" s="18"/>
      <c r="K241" s="18">
        <f>1139.82</f>
        <v>1139.82</v>
      </c>
      <c r="L241" s="19">
        <f t="shared" si="4"/>
        <v>79536.090000000011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57582.7+119401.34</f>
        <v>176984.03999999998</v>
      </c>
      <c r="G242" s="18">
        <f>22142.11+75484.66+891.87</f>
        <v>98518.64</v>
      </c>
      <c r="H242" s="18">
        <f>115189.33+1609.93+545.97</f>
        <v>117345.23</v>
      </c>
      <c r="I242" s="18">
        <f>38995.64+216800.84+10056.98</f>
        <v>265853.45999999996</v>
      </c>
      <c r="J242" s="18">
        <f>11538.68</f>
        <v>11538.68</v>
      </c>
      <c r="K242" s="18"/>
      <c r="L242" s="19">
        <f t="shared" si="4"/>
        <v>670240.04999999993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16163.19+289.65+1387.73+16914.92+4188.98</f>
        <v>38944.47</v>
      </c>
      <c r="G243" s="18">
        <f>3625.71+22.16+106.05+1315.03+320.25+196.25</f>
        <v>5585.45</v>
      </c>
      <c r="H243" s="18">
        <f>4060.49+545.2+706.55</f>
        <v>5312.24</v>
      </c>
      <c r="I243" s="18">
        <f>9107.64</f>
        <v>9107.64</v>
      </c>
      <c r="J243" s="18">
        <f>8442.5</f>
        <v>8442.5</v>
      </c>
      <c r="K243" s="18">
        <f>42.96</f>
        <v>42.96</v>
      </c>
      <c r="L243" s="19">
        <f t="shared" si="4"/>
        <v>67435.259999999995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2790.25</f>
        <v>2790.25</v>
      </c>
      <c r="G244" s="18">
        <f>216.24+14.06</f>
        <v>230.3</v>
      </c>
      <c r="H244" s="18"/>
      <c r="I244" s="18"/>
      <c r="J244" s="18"/>
      <c r="K244" s="18"/>
      <c r="L244" s="19">
        <f>SUM(F244:K244)</f>
        <v>3020.55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3674325.7199999997</v>
      </c>
      <c r="G246" s="41">
        <f t="shared" si="5"/>
        <v>1498259.31</v>
      </c>
      <c r="H246" s="41">
        <f t="shared" si="5"/>
        <v>955954.70999999985</v>
      </c>
      <c r="I246" s="41">
        <f t="shared" si="5"/>
        <v>432040.89</v>
      </c>
      <c r="J246" s="41">
        <f t="shared" si="5"/>
        <v>99422.81</v>
      </c>
      <c r="K246" s="41">
        <f t="shared" si="5"/>
        <v>22876.899999999998</v>
      </c>
      <c r="L246" s="41">
        <f t="shared" si="5"/>
        <v>6682880.3399999999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9538099.5300000012</v>
      </c>
      <c r="G256" s="41">
        <f t="shared" si="8"/>
        <v>3654217.92</v>
      </c>
      <c r="H256" s="41">
        <f t="shared" si="8"/>
        <v>2017382.67</v>
      </c>
      <c r="I256" s="41">
        <f t="shared" si="8"/>
        <v>1014597.5900000001</v>
      </c>
      <c r="J256" s="41">
        <f t="shared" si="8"/>
        <v>301450.71999999997</v>
      </c>
      <c r="K256" s="41">
        <f t="shared" si="8"/>
        <v>43444.88</v>
      </c>
      <c r="L256" s="41">
        <f t="shared" si="8"/>
        <v>16569193.309999999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9538099.5300000012</v>
      </c>
      <c r="G270" s="42">
        <f t="shared" si="11"/>
        <v>3654217.92</v>
      </c>
      <c r="H270" s="42">
        <f t="shared" si="11"/>
        <v>2017382.67</v>
      </c>
      <c r="I270" s="42">
        <f t="shared" si="11"/>
        <v>1014597.5900000001</v>
      </c>
      <c r="J270" s="42">
        <f t="shared" si="11"/>
        <v>301450.71999999997</v>
      </c>
      <c r="K270" s="42">
        <f t="shared" si="11"/>
        <v>43444.88</v>
      </c>
      <c r="L270" s="42">
        <f t="shared" si="11"/>
        <v>16569193.309999999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129312.61</f>
        <v>129312.61</v>
      </c>
      <c r="G275" s="18">
        <f>22595.27</f>
        <v>22595.27</v>
      </c>
      <c r="H275" s="18">
        <f>19201.38</f>
        <v>19201.38</v>
      </c>
      <c r="I275" s="18">
        <f>810.54+3364.95</f>
        <v>4175.49</v>
      </c>
      <c r="J275" s="18">
        <f>5179.95+36546.8</f>
        <v>41726.75</v>
      </c>
      <c r="K275" s="18">
        <f>1930.25</f>
        <v>1930.25</v>
      </c>
      <c r="L275" s="19">
        <f>SUM(F275:K275)</f>
        <v>218941.75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14602.81+502686.77</f>
        <v>517289.58</v>
      </c>
      <c r="G276" s="18">
        <f>1214.27+128462.89</f>
        <v>129677.16</v>
      </c>
      <c r="H276" s="18">
        <f>4719.47</f>
        <v>4719.47</v>
      </c>
      <c r="I276" s="18">
        <v>4365.0600000000004</v>
      </c>
      <c r="J276" s="18"/>
      <c r="K276" s="18">
        <f>56+34442.72</f>
        <v>34498.720000000001</v>
      </c>
      <c r="L276" s="19">
        <f>SUM(F276:K276)</f>
        <v>690549.99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116487.99</f>
        <v>116487.99</v>
      </c>
      <c r="G278" s="18">
        <f>20471.32</f>
        <v>20471.32</v>
      </c>
      <c r="H278" s="18">
        <f>9242.28</f>
        <v>9242.2800000000007</v>
      </c>
      <c r="I278" s="18">
        <f>6509.85</f>
        <v>6509.85</v>
      </c>
      <c r="J278" s="18">
        <f>3000</f>
        <v>3000</v>
      </c>
      <c r="K278" s="18">
        <f>110.49</f>
        <v>110.49</v>
      </c>
      <c r="L278" s="19">
        <f>SUM(F278:K278)</f>
        <v>155821.93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4032+167202.87+6639.94</f>
        <v>177874.81</v>
      </c>
      <c r="G280" s="18">
        <f>308.44+36936.35+3363.01</f>
        <v>40607.800000000003</v>
      </c>
      <c r="H280" s="18">
        <f>5696+8271.19</f>
        <v>13967.19</v>
      </c>
      <c r="I280" s="18"/>
      <c r="J280" s="18"/>
      <c r="K280" s="18"/>
      <c r="L280" s="19">
        <f t="shared" ref="L280:L286" si="12">SUM(F280:K280)</f>
        <v>232449.8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12511.98+4000+107354.12</f>
        <v>123866.09999999999</v>
      </c>
      <c r="I281" s="18"/>
      <c r="J281" s="18"/>
      <c r="K281" s="18"/>
      <c r="L281" s="19">
        <f t="shared" si="12"/>
        <v>123866.09999999999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f>177.75</f>
        <v>177.75</v>
      </c>
      <c r="I282" s="18"/>
      <c r="J282" s="18"/>
      <c r="K282" s="18"/>
      <c r="L282" s="19">
        <f t="shared" si="12"/>
        <v>177.75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3033.51</f>
        <v>3033.51</v>
      </c>
      <c r="I286" s="18"/>
      <c r="J286" s="18"/>
      <c r="K286" s="18"/>
      <c r="L286" s="19">
        <f t="shared" si="12"/>
        <v>3033.51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940964.99</v>
      </c>
      <c r="G289" s="42">
        <f t="shared" si="13"/>
        <v>213351.55</v>
      </c>
      <c r="H289" s="42">
        <f t="shared" si="13"/>
        <v>174207.68</v>
      </c>
      <c r="I289" s="42">
        <f t="shared" si="13"/>
        <v>15050.4</v>
      </c>
      <c r="J289" s="42">
        <f t="shared" si="13"/>
        <v>44726.75</v>
      </c>
      <c r="K289" s="42">
        <f t="shared" si="13"/>
        <v>36539.46</v>
      </c>
      <c r="L289" s="41">
        <f t="shared" si="13"/>
        <v>1424840.83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4050</f>
        <v>4050</v>
      </c>
      <c r="G294" s="18">
        <f>671.44</f>
        <v>671.44</v>
      </c>
      <c r="H294" s="18"/>
      <c r="I294" s="18">
        <f>228.62+206.05</f>
        <v>434.67</v>
      </c>
      <c r="J294" s="18">
        <f>1461.01+785.17</f>
        <v>2246.1799999999998</v>
      </c>
      <c r="K294" s="18"/>
      <c r="L294" s="19">
        <f>SUM(F294:K294)</f>
        <v>7402.2900000000009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9086.19</f>
        <v>9086.19</v>
      </c>
      <c r="G295" s="18">
        <f>755.55</f>
        <v>755.55</v>
      </c>
      <c r="H295" s="18"/>
      <c r="I295" s="18"/>
      <c r="J295" s="18"/>
      <c r="K295" s="18"/>
      <c r="L295" s="19">
        <f>SUM(F295:K295)</f>
        <v>9841.74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32855.59</f>
        <v>32855.589999999997</v>
      </c>
      <c r="G297" s="18">
        <f>5773.96</f>
        <v>5773.96</v>
      </c>
      <c r="H297" s="18">
        <f>2606.8</f>
        <v>2606.8000000000002</v>
      </c>
      <c r="I297" s="18">
        <f>1836.11</f>
        <v>1836.11</v>
      </c>
      <c r="J297" s="18"/>
      <c r="K297" s="18">
        <f>31.17</f>
        <v>31.17</v>
      </c>
      <c r="L297" s="19">
        <f>SUM(F297:K297)</f>
        <v>43103.63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630+50887.83</f>
        <v>51517.83</v>
      </c>
      <c r="G299" s="18">
        <f>48.2+11241.5</f>
        <v>11289.7</v>
      </c>
      <c r="H299" s="18">
        <f>890+1292.38</f>
        <v>2182.38</v>
      </c>
      <c r="I299" s="18"/>
      <c r="J299" s="18"/>
      <c r="K299" s="18"/>
      <c r="L299" s="19">
        <f t="shared" ref="L299:L305" si="14">SUM(F299:K299)</f>
        <v>64989.909999999996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8662.14+5500</f>
        <v>14162.14</v>
      </c>
      <c r="I300" s="18"/>
      <c r="J300" s="18"/>
      <c r="K300" s="18"/>
      <c r="L300" s="19">
        <f t="shared" si="14"/>
        <v>14162.14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f>855.61</f>
        <v>855.61</v>
      </c>
      <c r="I305" s="18"/>
      <c r="J305" s="18"/>
      <c r="K305" s="18"/>
      <c r="L305" s="19">
        <f t="shared" si="14"/>
        <v>855.61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97509.61</v>
      </c>
      <c r="G308" s="42">
        <f t="shared" si="15"/>
        <v>18490.650000000001</v>
      </c>
      <c r="H308" s="42">
        <f t="shared" si="15"/>
        <v>19806.93</v>
      </c>
      <c r="I308" s="42">
        <f t="shared" si="15"/>
        <v>2270.7799999999997</v>
      </c>
      <c r="J308" s="42">
        <f t="shared" si="15"/>
        <v>2246.1799999999998</v>
      </c>
      <c r="K308" s="42">
        <f t="shared" si="15"/>
        <v>31.17</v>
      </c>
      <c r="L308" s="41">
        <f t="shared" si="15"/>
        <v>140355.31999999998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1350</f>
        <v>1350</v>
      </c>
      <c r="G313" s="18">
        <f>255.83</f>
        <v>255.83</v>
      </c>
      <c r="H313" s="18"/>
      <c r="I313" s="18">
        <f>150</f>
        <v>150</v>
      </c>
      <c r="J313" s="18">
        <f>5496</f>
        <v>5496</v>
      </c>
      <c r="K313" s="18"/>
      <c r="L313" s="19">
        <f>SUM(F313:K313)</f>
        <v>7251.83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8761.69</f>
        <v>8761.69</v>
      </c>
      <c r="G314" s="18">
        <f>728.57</f>
        <v>728.57</v>
      </c>
      <c r="H314" s="18"/>
      <c r="I314" s="18"/>
      <c r="J314" s="18"/>
      <c r="K314" s="18"/>
      <c r="L314" s="19">
        <f>SUM(F314:K314)</f>
        <v>9490.26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f>1993.59</f>
        <v>1993.59</v>
      </c>
      <c r="I315" s="18"/>
      <c r="J315" s="18"/>
      <c r="K315" s="18"/>
      <c r="L315" s="19">
        <f>SUM(F315:K315)</f>
        <v>1993.59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843.52</f>
        <v>843.52</v>
      </c>
      <c r="G316" s="18">
        <f>100.4</f>
        <v>100.4</v>
      </c>
      <c r="H316" s="18"/>
      <c r="I316" s="18"/>
      <c r="J316" s="18">
        <f>675</f>
        <v>675</v>
      </c>
      <c r="K316" s="18">
        <f>100</f>
        <v>100</v>
      </c>
      <c r="L316" s="19">
        <f>SUM(F316:K316)</f>
        <v>1718.92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1638+24232.3</f>
        <v>25870.3</v>
      </c>
      <c r="G318" s="18">
        <f>125.31+5353.1</f>
        <v>5478.4100000000008</v>
      </c>
      <c r="H318" s="18">
        <f>2314+3360.18</f>
        <v>5674.18</v>
      </c>
      <c r="I318" s="18">
        <f>1389.79</f>
        <v>1389.79</v>
      </c>
      <c r="J318" s="18">
        <f>500</f>
        <v>500</v>
      </c>
      <c r="K318" s="18"/>
      <c r="L318" s="19">
        <f t="shared" ref="L318:L324" si="16">SUM(F318:K318)</f>
        <v>38912.68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10907.88+5500</f>
        <v>16407.879999999997</v>
      </c>
      <c r="I319" s="18"/>
      <c r="J319" s="18"/>
      <c r="K319" s="18"/>
      <c r="L319" s="19">
        <f t="shared" si="16"/>
        <v>16407.879999999997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281.08</v>
      </c>
      <c r="I324" s="18"/>
      <c r="J324" s="18"/>
      <c r="K324" s="18"/>
      <c r="L324" s="19">
        <f t="shared" si="16"/>
        <v>281.08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36825.51</v>
      </c>
      <c r="G327" s="42">
        <f t="shared" si="17"/>
        <v>6563.2100000000009</v>
      </c>
      <c r="H327" s="42">
        <f t="shared" si="17"/>
        <v>24356.73</v>
      </c>
      <c r="I327" s="42">
        <f t="shared" si="17"/>
        <v>1539.79</v>
      </c>
      <c r="J327" s="42">
        <f t="shared" si="17"/>
        <v>6671</v>
      </c>
      <c r="K327" s="42">
        <f t="shared" si="17"/>
        <v>100</v>
      </c>
      <c r="L327" s="41">
        <f t="shared" si="17"/>
        <v>76056.240000000005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1075300.1099999999</v>
      </c>
      <c r="G337" s="41">
        <f t="shared" si="20"/>
        <v>238405.40999999997</v>
      </c>
      <c r="H337" s="41">
        <f t="shared" si="20"/>
        <v>218371.34</v>
      </c>
      <c r="I337" s="41">
        <f t="shared" si="20"/>
        <v>18860.97</v>
      </c>
      <c r="J337" s="41">
        <f t="shared" si="20"/>
        <v>53643.93</v>
      </c>
      <c r="K337" s="41">
        <f t="shared" si="20"/>
        <v>36670.629999999997</v>
      </c>
      <c r="L337" s="41">
        <f t="shared" si="20"/>
        <v>1641252.3900000001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1075300.1099999999</v>
      </c>
      <c r="G351" s="41">
        <f>G337</f>
        <v>238405.40999999997</v>
      </c>
      <c r="H351" s="41">
        <f>H337</f>
        <v>218371.34</v>
      </c>
      <c r="I351" s="41">
        <f>I337</f>
        <v>18860.97</v>
      </c>
      <c r="J351" s="41">
        <f>J337</f>
        <v>53643.93</v>
      </c>
      <c r="K351" s="47">
        <f>K337+K350</f>
        <v>36670.629999999997</v>
      </c>
      <c r="L351" s="41">
        <f>L337+L350</f>
        <v>1641252.3900000001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96616.8+8654.67</f>
        <v>105271.47</v>
      </c>
      <c r="G357" s="18">
        <f>17188.01+1705.64</f>
        <v>18893.649999999998</v>
      </c>
      <c r="H357" s="18">
        <f>3363.19</f>
        <v>3363.19</v>
      </c>
      <c r="I357" s="18">
        <f>134789.74</f>
        <v>134789.74</v>
      </c>
      <c r="J357" s="18"/>
      <c r="K357" s="18">
        <v>497.82</v>
      </c>
      <c r="L357" s="13">
        <f>SUM(F357:K357)</f>
        <v>262815.87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57970.08</f>
        <v>57970.080000000002</v>
      </c>
      <c r="G358" s="18">
        <f>10312.8</f>
        <v>10312.799999999999</v>
      </c>
      <c r="H358" s="18">
        <f>2354.24</f>
        <v>2354.2399999999998</v>
      </c>
      <c r="I358" s="18">
        <f>94352.82</f>
        <v>94352.82</v>
      </c>
      <c r="J358" s="18"/>
      <c r="K358" s="18">
        <v>348.47</v>
      </c>
      <c r="L358" s="19">
        <f>SUM(F358:K358)</f>
        <v>165338.41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86955.12</f>
        <v>86955.12</v>
      </c>
      <c r="G359" s="18">
        <f>15469.2</f>
        <v>15469.2</v>
      </c>
      <c r="H359" s="18">
        <f>2690.56</f>
        <v>2690.56</v>
      </c>
      <c r="I359" s="18">
        <f>107831.8</f>
        <v>107831.8</v>
      </c>
      <c r="J359" s="18"/>
      <c r="K359" s="18">
        <v>398.26</v>
      </c>
      <c r="L359" s="19">
        <f>SUM(F359:K359)</f>
        <v>213344.94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250196.66999999998</v>
      </c>
      <c r="G361" s="47">
        <f t="shared" si="22"/>
        <v>44675.649999999994</v>
      </c>
      <c r="H361" s="47">
        <f t="shared" si="22"/>
        <v>8407.99</v>
      </c>
      <c r="I361" s="47">
        <f t="shared" si="22"/>
        <v>336974.36</v>
      </c>
      <c r="J361" s="47">
        <f t="shared" si="22"/>
        <v>0</v>
      </c>
      <c r="K361" s="47">
        <f t="shared" si="22"/>
        <v>1244.55</v>
      </c>
      <c r="L361" s="47">
        <f t="shared" si="22"/>
        <v>641499.22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121511.77</v>
      </c>
      <c r="G366" s="18">
        <v>85058.240000000005</v>
      </c>
      <c r="H366" s="18">
        <v>97209.42</v>
      </c>
      <c r="I366" s="56">
        <f>SUM(F366:H366)</f>
        <v>303779.43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13277.969999999987</v>
      </c>
      <c r="G367" s="63">
        <v>9294.5800000000017</v>
      </c>
      <c r="H367" s="63">
        <v>10622.380000000005</v>
      </c>
      <c r="I367" s="56">
        <f>SUM(F367:H367)</f>
        <v>33194.929999999993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134789.74</v>
      </c>
      <c r="G368" s="47">
        <f>SUM(G366:G367)</f>
        <v>94352.82</v>
      </c>
      <c r="H368" s="47">
        <f>SUM(H366:H367)</f>
        <v>107831.8</v>
      </c>
      <c r="I368" s="47">
        <f>SUM(I366:I367)</f>
        <v>336974.36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6628.82</v>
      </c>
      <c r="G464" s="18">
        <v>52814.68</v>
      </c>
      <c r="H464" s="18">
        <v>19501.48</v>
      </c>
      <c r="I464" s="18"/>
      <c r="J464" s="18"/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16569475.810000001</v>
      </c>
      <c r="G467" s="18">
        <v>608450.24</v>
      </c>
      <c r="H467" s="18">
        <v>1634022.21</v>
      </c>
      <c r="I467" s="18"/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>
        <f>2436.92</f>
        <v>2436.92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16569475.810000001</v>
      </c>
      <c r="G469" s="53">
        <f>SUM(G467:G468)</f>
        <v>608450.24</v>
      </c>
      <c r="H469" s="53">
        <f>SUM(H467:H468)</f>
        <v>1636459.13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16569193.309999999</v>
      </c>
      <c r="G471" s="18">
        <v>641499.22</v>
      </c>
      <c r="H471" s="18">
        <v>1641252.3900000001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>
        <f>100</f>
        <v>100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16569193.309999999</v>
      </c>
      <c r="G473" s="53">
        <f>SUM(G471:G472)</f>
        <v>641499.22</v>
      </c>
      <c r="H473" s="53">
        <f>SUM(H471:H472)</f>
        <v>1641352.3900000001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6911.3200000021607</v>
      </c>
      <c r="G475" s="53">
        <f>(G464+G469)- G473</f>
        <v>19765.70000000007</v>
      </c>
      <c r="H475" s="53">
        <f>(H464+H469)- H473</f>
        <v>14608.219999999739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15</v>
      </c>
      <c r="H489" s="154">
        <v>10</v>
      </c>
      <c r="I489" s="154">
        <v>29</v>
      </c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909</v>
      </c>
      <c r="H490" s="155" t="s">
        <v>911</v>
      </c>
      <c r="I490" s="155" t="s">
        <v>913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910</v>
      </c>
      <c r="H491" s="155" t="s">
        <v>912</v>
      </c>
      <c r="I491" s="155" t="s">
        <v>916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1500000</v>
      </c>
      <c r="G492" s="18">
        <v>4500000</v>
      </c>
      <c r="H492" s="18">
        <v>1713290</v>
      </c>
      <c r="I492" s="18">
        <v>577185</v>
      </c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</v>
      </c>
      <c r="G493" s="18">
        <v>4.7</v>
      </c>
      <c r="H493" s="18">
        <v>4.3</v>
      </c>
      <c r="I493" s="18">
        <v>2.8477199999999998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100000</v>
      </c>
      <c r="G494" s="18">
        <v>300000</v>
      </c>
      <c r="H494" s="18">
        <v>927229.09</v>
      </c>
      <c r="I494" s="18">
        <v>365747.6</v>
      </c>
      <c r="J494" s="18"/>
      <c r="K494" s="53">
        <f>SUM(F494:J494)</f>
        <v>1692976.69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100000</v>
      </c>
      <c r="G496" s="18">
        <v>300000</v>
      </c>
      <c r="H496" s="18">
        <v>169894.69</v>
      </c>
      <c r="I496" s="18">
        <v>102189.67</v>
      </c>
      <c r="J496" s="18"/>
      <c r="K496" s="53">
        <f t="shared" si="35"/>
        <v>672084.36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>
        <v>0</v>
      </c>
      <c r="H497" s="204">
        <f>H494-H496</f>
        <v>757334.39999999991</v>
      </c>
      <c r="I497" s="204">
        <v>263556.93</v>
      </c>
      <c r="J497" s="204"/>
      <c r="K497" s="205">
        <f t="shared" si="35"/>
        <v>1020891.3299999998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>
        <v>84715.88</v>
      </c>
      <c r="I498" s="18">
        <v>93647.695504000003</v>
      </c>
      <c r="J498" s="18"/>
      <c r="K498" s="53">
        <f t="shared" si="35"/>
        <v>178363.57550400001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842050.27999999991</v>
      </c>
      <c r="I499" s="42">
        <f>SUM(I497:I498)</f>
        <v>357204.625504</v>
      </c>
      <c r="J499" s="42">
        <f>SUM(J497:J498)</f>
        <v>0</v>
      </c>
      <c r="K499" s="42">
        <f t="shared" si="35"/>
        <v>1199254.9055039999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0</v>
      </c>
      <c r="H500" s="204">
        <v>177337.04</v>
      </c>
      <c r="I500" s="204">
        <v>0</v>
      </c>
      <c r="J500" s="204"/>
      <c r="K500" s="205">
        <f t="shared" si="35"/>
        <v>177337.04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0</v>
      </c>
      <c r="H501" s="18">
        <v>33175.53</v>
      </c>
      <c r="I501" s="18">
        <v>7718.09</v>
      </c>
      <c r="J501" s="18"/>
      <c r="K501" s="53">
        <f t="shared" si="35"/>
        <v>40893.619999999995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210512.57</v>
      </c>
      <c r="I502" s="42">
        <f>SUM(I500:I501)</f>
        <v>7718.09</v>
      </c>
      <c r="J502" s="42">
        <f>SUM(J500:J501)</f>
        <v>0</v>
      </c>
      <c r="K502" s="42">
        <f t="shared" si="35"/>
        <v>218230.66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520735.76</v>
      </c>
      <c r="G506" s="144">
        <f>I506-F506</f>
        <v>49229.829999999958</v>
      </c>
      <c r="H506" s="144"/>
      <c r="I506" s="144">
        <f>516685.02+44992.88+3441.96+4845.73</f>
        <v>569965.59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23885.43+15112.35+600346.08+1196.34+14602.81</f>
        <v>655143.01</v>
      </c>
      <c r="G520" s="18">
        <f>1156.29+3738.3+145417.76+91.54+1214.27</f>
        <v>151618.16</v>
      </c>
      <c r="H520" s="18">
        <f>6023.49+28579.81+77703</f>
        <v>112306.3</v>
      </c>
      <c r="I520" s="18">
        <f>213.95+2095.45+710.82+215</f>
        <v>3235.22</v>
      </c>
      <c r="J520" s="18">
        <f>448+2655</f>
        <v>3103</v>
      </c>
      <c r="K520" s="18"/>
      <c r="L520" s="88">
        <f>SUM(F520:K520)</f>
        <v>925405.69000000006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5724.03+9403.24+496428.67+9086.19</f>
        <v>520642.13</v>
      </c>
      <c r="G521" s="18">
        <f>719.47+895.86+85213.81+755.55</f>
        <v>87584.69</v>
      </c>
      <c r="H521" s="18">
        <f>3747.95+248731.34</f>
        <v>252479.29</v>
      </c>
      <c r="I521" s="18">
        <f>51.27+1489.49</f>
        <v>1540.76</v>
      </c>
      <c r="J521" s="18"/>
      <c r="K521" s="18"/>
      <c r="L521" s="88">
        <f>SUM(F521:K521)</f>
        <v>862246.87000000011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5724.03+9067.41+457423.96+8761.69</f>
        <v>480977.09</v>
      </c>
      <c r="G522" s="18">
        <f>693.78+895.86+126585.36+728.57</f>
        <v>128903.57</v>
      </c>
      <c r="H522" s="18">
        <f>3614.09+554627.86</f>
        <v>558241.94999999995</v>
      </c>
      <c r="I522" s="18">
        <f>51.27+1309.86</f>
        <v>1361.1299999999999</v>
      </c>
      <c r="J522" s="18"/>
      <c r="K522" s="18"/>
      <c r="L522" s="88">
        <f>SUM(F522:K522)</f>
        <v>1169483.7399999998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1656762.2300000002</v>
      </c>
      <c r="G523" s="108">
        <f t="shared" ref="G523:L523" si="36">SUM(G520:G522)</f>
        <v>368106.42000000004</v>
      </c>
      <c r="H523" s="108">
        <f t="shared" si="36"/>
        <v>923027.54</v>
      </c>
      <c r="I523" s="108">
        <f t="shared" si="36"/>
        <v>6137.11</v>
      </c>
      <c r="J523" s="108">
        <f t="shared" si="36"/>
        <v>3103</v>
      </c>
      <c r="K523" s="108">
        <f t="shared" si="36"/>
        <v>0</v>
      </c>
      <c r="L523" s="89">
        <f t="shared" si="36"/>
        <v>2957136.3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83281.36+79174.78+9817.67+4032+167202.87+6639.94</f>
        <v>350148.62000000005</v>
      </c>
      <c r="G525" s="18">
        <f>41419.68+24357.61+751.07+308.44+36936.35+3363.01</f>
        <v>107136.16000000002</v>
      </c>
      <c r="H525" s="18">
        <f>207+135832.37+7416.75+5696+8271.19</f>
        <v>157423.31</v>
      </c>
      <c r="I525" s="18">
        <f>507.36+801.12</f>
        <v>1308.48</v>
      </c>
      <c r="J525" s="18"/>
      <c r="K525" s="18"/>
      <c r="L525" s="88">
        <f>SUM(F525:K525)</f>
        <v>616016.57000000007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13012.71+24096.67+630+50887.83</f>
        <v>88627.209999999992</v>
      </c>
      <c r="G526" s="18">
        <f>6471.82+7413.19+48.2+11241.5</f>
        <v>25174.71</v>
      </c>
      <c r="H526" s="18">
        <f>63+41841.22+1979.25+890+1292.38</f>
        <v>46065.85</v>
      </c>
      <c r="I526" s="18">
        <f>79.28+243.82</f>
        <v>323.10000000000002</v>
      </c>
      <c r="J526" s="18"/>
      <c r="K526" s="18"/>
      <c r="L526" s="88">
        <f>SUM(F526:K526)</f>
        <v>160190.87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33833.05+11474.61+19664.83+1638+24232.3</f>
        <v>90842.790000000008</v>
      </c>
      <c r="G527" s="18">
        <f>16826.74+3530.09+1504.41+125.31+5353.1</f>
        <v>27339.65</v>
      </c>
      <c r="H527" s="18">
        <f>30+24457.91+1479+2314+3360.18</f>
        <v>31641.09</v>
      </c>
      <c r="I527" s="18">
        <f>206.12+116.1+295.57</f>
        <v>617.79</v>
      </c>
      <c r="J527" s="18"/>
      <c r="K527" s="18"/>
      <c r="L527" s="88">
        <f>SUM(F527:K527)</f>
        <v>150441.32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529618.62000000011</v>
      </c>
      <c r="G528" s="89">
        <f t="shared" ref="G528:L528" si="37">SUM(G525:G527)</f>
        <v>159650.52000000002</v>
      </c>
      <c r="H528" s="89">
        <f t="shared" si="37"/>
        <v>235130.25</v>
      </c>
      <c r="I528" s="89">
        <f t="shared" si="37"/>
        <v>2249.37</v>
      </c>
      <c r="J528" s="89">
        <f t="shared" si="37"/>
        <v>0</v>
      </c>
      <c r="K528" s="89">
        <f t="shared" si="37"/>
        <v>0</v>
      </c>
      <c r="L528" s="89">
        <f t="shared" si="37"/>
        <v>926648.76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44907.48</f>
        <v>44907.48</v>
      </c>
      <c r="G530" s="18">
        <f>8771.52</f>
        <v>8771.52</v>
      </c>
      <c r="H530" s="18">
        <f>3435.26</f>
        <v>3435.26</v>
      </c>
      <c r="I530" s="18">
        <f>2165.26</f>
        <v>2165.2600000000002</v>
      </c>
      <c r="J530" s="18"/>
      <c r="K530" s="18">
        <f>192.6</f>
        <v>192.6</v>
      </c>
      <c r="L530" s="88">
        <f>SUM(F530:K530)</f>
        <v>59472.12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27942.43</f>
        <v>27942.43</v>
      </c>
      <c r="G531" s="18">
        <f>5457.83</f>
        <v>5457.83</v>
      </c>
      <c r="H531" s="18">
        <f>2137.5</f>
        <v>2137.5</v>
      </c>
      <c r="I531" s="18">
        <f>518.9</f>
        <v>518.9</v>
      </c>
      <c r="J531" s="18"/>
      <c r="K531" s="18">
        <f>119.84</f>
        <v>119.84</v>
      </c>
      <c r="L531" s="88">
        <f>SUM(F531:K531)</f>
        <v>36176.5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26944.49</f>
        <v>26944.49</v>
      </c>
      <c r="G532" s="18">
        <f>5262.91</f>
        <v>5262.91</v>
      </c>
      <c r="H532" s="18">
        <f>2061.16</f>
        <v>2061.16</v>
      </c>
      <c r="I532" s="18">
        <f>518.9</f>
        <v>518.9</v>
      </c>
      <c r="J532" s="18"/>
      <c r="K532" s="18">
        <f>115.56</f>
        <v>115.56</v>
      </c>
      <c r="L532" s="88">
        <f>SUM(F532:K532)</f>
        <v>34903.019999999997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99794.400000000009</v>
      </c>
      <c r="G533" s="89">
        <f t="shared" ref="G533:L533" si="38">SUM(G530:G532)</f>
        <v>19492.260000000002</v>
      </c>
      <c r="H533" s="89">
        <f t="shared" si="38"/>
        <v>7633.92</v>
      </c>
      <c r="I533" s="89">
        <f t="shared" si="38"/>
        <v>3203.0600000000004</v>
      </c>
      <c r="J533" s="89">
        <f t="shared" si="38"/>
        <v>0</v>
      </c>
      <c r="K533" s="89">
        <f t="shared" si="38"/>
        <v>428</v>
      </c>
      <c r="L533" s="89">
        <f t="shared" si="38"/>
        <v>130551.63999999998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f>1208.66+8172.85</f>
        <v>9381.51</v>
      </c>
      <c r="G540" s="18">
        <f>92.47+624.14</f>
        <v>716.61</v>
      </c>
      <c r="H540" s="18"/>
      <c r="I540" s="18"/>
      <c r="J540" s="18"/>
      <c r="K540" s="18"/>
      <c r="L540" s="88">
        <f>SUM(F540:K540)</f>
        <v>10098.120000000001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f>289.65+342.96</f>
        <v>632.6099999999999</v>
      </c>
      <c r="G541" s="18">
        <f>22.16+26.21</f>
        <v>48.370000000000005</v>
      </c>
      <c r="H541" s="18">
        <f>391.5</f>
        <v>391.5</v>
      </c>
      <c r="I541" s="18"/>
      <c r="J541" s="18"/>
      <c r="K541" s="18"/>
      <c r="L541" s="88">
        <f>SUM(F541:K541)</f>
        <v>1072.48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f>289.65+1387.73</f>
        <v>1677.38</v>
      </c>
      <c r="G542" s="18">
        <f>22.16+106.05</f>
        <v>128.21</v>
      </c>
      <c r="H542" s="18"/>
      <c r="I542" s="18"/>
      <c r="J542" s="18"/>
      <c r="K542" s="18"/>
      <c r="L542" s="88">
        <f>SUM(F542:K542)</f>
        <v>1805.5900000000001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11691.5</v>
      </c>
      <c r="G543" s="193">
        <f t="shared" ref="G543:L543" si="40">SUM(G540:G542)</f>
        <v>893.19</v>
      </c>
      <c r="H543" s="193">
        <f t="shared" si="40"/>
        <v>391.5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12976.19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2297866.7500000005</v>
      </c>
      <c r="G544" s="89">
        <f t="shared" ref="G544:L544" si="41">G523+G528+G533+G538+G543</f>
        <v>548142.39</v>
      </c>
      <c r="H544" s="89">
        <f t="shared" si="41"/>
        <v>1166183.21</v>
      </c>
      <c r="I544" s="89">
        <f t="shared" si="41"/>
        <v>11589.54</v>
      </c>
      <c r="J544" s="89">
        <f t="shared" si="41"/>
        <v>3103</v>
      </c>
      <c r="K544" s="89">
        <f t="shared" si="41"/>
        <v>428</v>
      </c>
      <c r="L544" s="89">
        <f t="shared" si="41"/>
        <v>4027312.8899999997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925405.69000000006</v>
      </c>
      <c r="G548" s="87">
        <f>L525</f>
        <v>616016.57000000007</v>
      </c>
      <c r="H548" s="87">
        <f>L530</f>
        <v>59472.12</v>
      </c>
      <c r="I548" s="87">
        <f>L535</f>
        <v>0</v>
      </c>
      <c r="J548" s="87">
        <f>L540</f>
        <v>10098.120000000001</v>
      </c>
      <c r="K548" s="87">
        <f>SUM(F548:J548)</f>
        <v>1610992.5000000005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862246.87000000011</v>
      </c>
      <c r="G549" s="87">
        <f>L526</f>
        <v>160190.87</v>
      </c>
      <c r="H549" s="87">
        <f>L531</f>
        <v>36176.5</v>
      </c>
      <c r="I549" s="87">
        <f>L536</f>
        <v>0</v>
      </c>
      <c r="J549" s="87">
        <f>L541</f>
        <v>1072.48</v>
      </c>
      <c r="K549" s="87">
        <f>SUM(F549:J549)</f>
        <v>1059686.7200000002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1169483.7399999998</v>
      </c>
      <c r="G550" s="87">
        <f>L527</f>
        <v>150441.32</v>
      </c>
      <c r="H550" s="87">
        <f>L532</f>
        <v>34903.019999999997</v>
      </c>
      <c r="I550" s="87">
        <f>L537</f>
        <v>0</v>
      </c>
      <c r="J550" s="87">
        <f>L542</f>
        <v>1805.5900000000001</v>
      </c>
      <c r="K550" s="87">
        <f>SUM(F550:J550)</f>
        <v>1356633.67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2957136.3</v>
      </c>
      <c r="G551" s="89">
        <f t="shared" si="42"/>
        <v>926648.76</v>
      </c>
      <c r="H551" s="89">
        <f t="shared" si="42"/>
        <v>130551.63999999998</v>
      </c>
      <c r="I551" s="89">
        <f t="shared" si="42"/>
        <v>0</v>
      </c>
      <c r="J551" s="89">
        <f t="shared" si="42"/>
        <v>12976.19</v>
      </c>
      <c r="K551" s="89">
        <f t="shared" si="42"/>
        <v>4027312.8900000006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502686.77</v>
      </c>
      <c r="G556" s="18">
        <v>128462.89000000001</v>
      </c>
      <c r="H556" s="18">
        <v>4719.47</v>
      </c>
      <c r="I556" s="18">
        <v>4365.0599999999995</v>
      </c>
      <c r="J556" s="18"/>
      <c r="K556" s="18">
        <v>56</v>
      </c>
      <c r="L556" s="88">
        <f>SUM(F556:K556)</f>
        <v>640290.19000000006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>
        <v>77794.75</v>
      </c>
      <c r="I558" s="18"/>
      <c r="J558" s="18"/>
      <c r="K558" s="18"/>
      <c r="L558" s="88">
        <f>SUM(F558:K558)</f>
        <v>77794.75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502686.77</v>
      </c>
      <c r="G559" s="108">
        <f t="shared" si="43"/>
        <v>128462.89000000001</v>
      </c>
      <c r="H559" s="108">
        <f t="shared" si="43"/>
        <v>82514.22</v>
      </c>
      <c r="I559" s="108">
        <f t="shared" si="43"/>
        <v>4365.0599999999995</v>
      </c>
      <c r="J559" s="108">
        <f t="shared" si="43"/>
        <v>0</v>
      </c>
      <c r="K559" s="108">
        <f t="shared" si="43"/>
        <v>56</v>
      </c>
      <c r="L559" s="89">
        <f t="shared" si="43"/>
        <v>718084.94000000006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502686.77</v>
      </c>
      <c r="G570" s="89">
        <f t="shared" ref="G570:L570" si="46">G559+G564+G569</f>
        <v>128462.89000000001</v>
      </c>
      <c r="H570" s="89">
        <f t="shared" si="46"/>
        <v>82514.22</v>
      </c>
      <c r="I570" s="89">
        <f t="shared" si="46"/>
        <v>4365.0599999999995</v>
      </c>
      <c r="J570" s="89">
        <f t="shared" si="46"/>
        <v>0</v>
      </c>
      <c r="K570" s="89">
        <f t="shared" si="46"/>
        <v>56</v>
      </c>
      <c r="L570" s="89">
        <f t="shared" si="46"/>
        <v>718084.94000000006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13317.5</v>
      </c>
      <c r="G574" s="18"/>
      <c r="H574" s="18"/>
      <c r="I574" s="87">
        <f>SUM(F574:H574)</f>
        <v>13317.5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10907.97</v>
      </c>
      <c r="G578" s="18">
        <v>2606.1</v>
      </c>
      <c r="H578" s="18">
        <v>65181.440000000002</v>
      </c>
      <c r="I578" s="87">
        <f t="shared" si="47"/>
        <v>78695.510000000009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17671.84+77703</f>
        <v>95374.84</v>
      </c>
      <c r="G581" s="18">
        <v>246125.24</v>
      </c>
      <c r="H581" s="18">
        <v>489446.42000000004</v>
      </c>
      <c r="I581" s="87">
        <f t="shared" si="47"/>
        <v>830946.5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218514.94+3725.45+503.76</f>
        <v>222744.15000000002</v>
      </c>
      <c r="I590" s="18">
        <f>116792.47+1991.17+271.25</f>
        <v>119054.89</v>
      </c>
      <c r="J590" s="18">
        <f>41442.49+545.2+706.55+196.25</f>
        <v>42890.49</v>
      </c>
      <c r="K590" s="104">
        <f t="shared" ref="K590:K596" si="48">SUM(H590:J590)</f>
        <v>384689.53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1301.13+8796.99</f>
        <v>10098.119999999999</v>
      </c>
      <c r="I591" s="18">
        <f>311.81+760.67</f>
        <v>1072.48</v>
      </c>
      <c r="J591" s="18">
        <f>311.81+1493.78</f>
        <v>1805.59</v>
      </c>
      <c r="K591" s="104">
        <f t="shared" si="48"/>
        <v>12976.189999999999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f>166.33</f>
        <v>166.33</v>
      </c>
      <c r="I593" s="18">
        <f>4086.66</f>
        <v>4086.66</v>
      </c>
      <c r="J593" s="18">
        <f>18229.95</f>
        <v>18229.95</v>
      </c>
      <c r="K593" s="104">
        <f t="shared" si="48"/>
        <v>22482.940000000002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1909.82</f>
        <v>1909.82</v>
      </c>
      <c r="I594" s="18">
        <f>3098.4</f>
        <v>3098.4</v>
      </c>
      <c r="J594" s="18">
        <f>4509.23</f>
        <v>4509.2299999999996</v>
      </c>
      <c r="K594" s="104">
        <f t="shared" si="48"/>
        <v>9517.4500000000007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f>3695.3</f>
        <v>3695.3</v>
      </c>
      <c r="I596" s="18">
        <f>1042.27</f>
        <v>1042.27</v>
      </c>
      <c r="J596" s="18"/>
      <c r="K596" s="104">
        <f t="shared" si="48"/>
        <v>4737.57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238613.72</v>
      </c>
      <c r="I597" s="108">
        <f>SUM(I590:I596)</f>
        <v>128354.7</v>
      </c>
      <c r="J597" s="108">
        <f>SUM(J590:J596)</f>
        <v>67435.259999999995</v>
      </c>
      <c r="K597" s="108">
        <f>SUM(K590:K596)</f>
        <v>434403.68000000005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155395.72</v>
      </c>
      <c r="I603" s="18">
        <v>93605.119999999995</v>
      </c>
      <c r="J603" s="18">
        <v>106093.81</v>
      </c>
      <c r="K603" s="104">
        <f>SUM(H603:J603)</f>
        <v>355094.65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155395.72</v>
      </c>
      <c r="I604" s="108">
        <f>SUM(I601:I603)</f>
        <v>93605.119999999995</v>
      </c>
      <c r="J604" s="108">
        <f>SUM(J601:J603)</f>
        <v>106093.81</v>
      </c>
      <c r="K604" s="108">
        <f>SUM(K601:K603)</f>
        <v>355094.65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6911.32</v>
      </c>
      <c r="H616" s="109">
        <f>SUM(F51)</f>
        <v>6911.32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19765.7</v>
      </c>
      <c r="H617" s="109">
        <f>SUM(G51)</f>
        <v>19765.7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14608.220000000001</v>
      </c>
      <c r="H618" s="109">
        <f>SUM(H51)</f>
        <v>14608.22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6911.32</v>
      </c>
      <c r="H621" s="109">
        <f>F475</f>
        <v>6911.3200000021607</v>
      </c>
      <c r="I621" s="121" t="s">
        <v>101</v>
      </c>
      <c r="J621" s="109">
        <f t="shared" ref="J621:J654" si="50">G621-H621</f>
        <v>-2.1609594114124775E-9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19765.7</v>
      </c>
      <c r="H622" s="109">
        <f>G475</f>
        <v>19765.70000000007</v>
      </c>
      <c r="I622" s="121" t="s">
        <v>102</v>
      </c>
      <c r="J622" s="109">
        <f t="shared" si="50"/>
        <v>-6.9121597334742546E-11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14608.22</v>
      </c>
      <c r="H623" s="109">
        <f>H475</f>
        <v>14608.219999999739</v>
      </c>
      <c r="I623" s="121" t="s">
        <v>103</v>
      </c>
      <c r="J623" s="109">
        <f t="shared" si="50"/>
        <v>2.6011548470705748E-10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16569475.810000001</v>
      </c>
      <c r="H626" s="104">
        <f>SUM(F467)</f>
        <v>16569475.810000001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608450.24</v>
      </c>
      <c r="H627" s="104">
        <f>SUM(G467)</f>
        <v>608450.24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1634022.21</v>
      </c>
      <c r="H628" s="104">
        <f>SUM(H467)</f>
        <v>1634022.21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16569193.309999999</v>
      </c>
      <c r="H631" s="104">
        <f>SUM(F471)</f>
        <v>16569193.309999999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1641252.3900000001</v>
      </c>
      <c r="H632" s="104">
        <f>SUM(H471)</f>
        <v>1641252.3900000001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336974.36</v>
      </c>
      <c r="H633" s="104">
        <f>I368</f>
        <v>336974.36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641499.22</v>
      </c>
      <c r="H634" s="104">
        <f>SUM(G471)</f>
        <v>641499.22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434403.68000000005</v>
      </c>
      <c r="H646" s="104">
        <f>L207+L225+L243</f>
        <v>434403.68000000005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355094.65</v>
      </c>
      <c r="H647" s="104">
        <f>(J256+J337)-(J254+J335)</f>
        <v>355094.64999999997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238613.72000000003</v>
      </c>
      <c r="H648" s="104">
        <f>H597</f>
        <v>238613.72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128354.7</v>
      </c>
      <c r="H649" s="104">
        <f>I597</f>
        <v>128354.7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67435.259999999995</v>
      </c>
      <c r="H650" s="104">
        <f>J597</f>
        <v>67435.259999999995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7279983.6099999994</v>
      </c>
      <c r="G659" s="19">
        <f>(L228+L308+L358)</f>
        <v>4599679.79</v>
      </c>
      <c r="H659" s="19">
        <f>(L246+L327+L359)</f>
        <v>6972281.5200000005</v>
      </c>
      <c r="I659" s="19">
        <f>SUM(F659:H659)</f>
        <v>18851944.919999998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88189.88770742387</v>
      </c>
      <c r="G660" s="19">
        <f>(L358/IF(SUM(L357:L359)=0,1,SUM(L357:L359))*(SUM(G96:G109)))</f>
        <v>55480.575855727468</v>
      </c>
      <c r="H660" s="19">
        <f>(L359/IF(SUM(L357:L359)=0,1,SUM(L357:L359))*(SUM(G96:G109)))</f>
        <v>71589.536436848677</v>
      </c>
      <c r="I660" s="19">
        <f>SUM(F660:H660)</f>
        <v>215260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197132.23000000004</v>
      </c>
      <c r="G661" s="19">
        <f>(L225+L305)-(J225+J305)</f>
        <v>105417.81</v>
      </c>
      <c r="H661" s="19">
        <f>(L243+L324)-(J243+J324)</f>
        <v>59273.84</v>
      </c>
      <c r="I661" s="19">
        <f>SUM(F661:H661)</f>
        <v>361823.88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274996.03000000003</v>
      </c>
      <c r="G662" s="199">
        <f>SUM(G574:G586)+SUM(I601:I603)+L611</f>
        <v>342336.45999999996</v>
      </c>
      <c r="H662" s="199">
        <f>SUM(H574:H586)+SUM(J601:J603)+L612</f>
        <v>660721.67000000016</v>
      </c>
      <c r="I662" s="19">
        <f>SUM(F662:H662)</f>
        <v>1278054.1600000001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6719665.4622925753</v>
      </c>
      <c r="G663" s="19">
        <f>G659-SUM(G660:G662)</f>
        <v>4096444.9441442727</v>
      </c>
      <c r="H663" s="19">
        <f>H659-SUM(H660:H662)</f>
        <v>6180696.4735631514</v>
      </c>
      <c r="I663" s="19">
        <f>I659-SUM(I660:I662)</f>
        <v>16996806.879999999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468.67</v>
      </c>
      <c r="G664" s="248">
        <v>335.09</v>
      </c>
      <c r="H664" s="248">
        <v>419.99</v>
      </c>
      <c r="I664" s="19">
        <f>SUM(F664:H664)</f>
        <v>1223.75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14337.73</v>
      </c>
      <c r="G666" s="19">
        <f>ROUND(G663/G664,2)</f>
        <v>12224.91</v>
      </c>
      <c r="H666" s="19">
        <f>ROUND(H663/H664,2)</f>
        <v>14716.29</v>
      </c>
      <c r="I666" s="19">
        <f>ROUND(I663/I664,2)</f>
        <v>13889.12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5.72</v>
      </c>
      <c r="I669" s="19">
        <f>SUM(F669:H669)</f>
        <v>5.72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14337.73</v>
      </c>
      <c r="G671" s="19">
        <f>ROUND((G663+G668)/(G664+G669),2)</f>
        <v>12224.91</v>
      </c>
      <c r="H671" s="19">
        <f>ROUND((H663+H668)/(H664+H669),2)</f>
        <v>14518.56</v>
      </c>
      <c r="I671" s="19">
        <f>ROUND((I663+I668)/(I664+I669),2)</f>
        <v>13824.5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J54" sqref="J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Berlin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4913869.5200000005</v>
      </c>
      <c r="C9" s="229">
        <f>'DOE25'!G196+'DOE25'!G214+'DOE25'!G232+'DOE25'!G275+'DOE25'!G294+'DOE25'!G313</f>
        <v>2036526.35</v>
      </c>
    </row>
    <row r="10" spans="1:3" x14ac:dyDescent="0.2">
      <c r="A10" t="s">
        <v>779</v>
      </c>
      <c r="B10" s="240">
        <v>4656819.3600000003</v>
      </c>
      <c r="C10" s="240">
        <v>2031856.08</v>
      </c>
    </row>
    <row r="11" spans="1:3" x14ac:dyDescent="0.2">
      <c r="A11" t="s">
        <v>780</v>
      </c>
      <c r="B11" s="240">
        <v>130952.06</v>
      </c>
      <c r="C11" s="240">
        <v>2379.23</v>
      </c>
    </row>
    <row r="12" spans="1:3" x14ac:dyDescent="0.2">
      <c r="A12" t="s">
        <v>781</v>
      </c>
      <c r="B12" s="240">
        <v>126098.1</v>
      </c>
      <c r="C12" s="240">
        <v>2291.04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4913869.5199999996</v>
      </c>
      <c r="C13" s="231">
        <f>SUM(C10:C12)</f>
        <v>2036526.35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2163449</v>
      </c>
      <c r="C18" s="229">
        <f>'DOE25'!G197+'DOE25'!G215+'DOE25'!G233+'DOE25'!G276+'DOE25'!G295+'DOE25'!G314</f>
        <v>504774.80000000005</v>
      </c>
    </row>
    <row r="19" spans="1:3" x14ac:dyDescent="0.2">
      <c r="A19" t="s">
        <v>779</v>
      </c>
      <c r="B19" s="240">
        <v>937843.40999999992</v>
      </c>
      <c r="C19" s="240">
        <v>403137.03</v>
      </c>
    </row>
    <row r="20" spans="1:3" x14ac:dyDescent="0.2">
      <c r="A20" t="s">
        <v>780</v>
      </c>
      <c r="B20" s="240">
        <v>1166096.9100000001</v>
      </c>
      <c r="C20" s="240">
        <v>96702.8</v>
      </c>
    </row>
    <row r="21" spans="1:3" x14ac:dyDescent="0.2">
      <c r="A21" t="s">
        <v>781</v>
      </c>
      <c r="B21" s="240">
        <v>59508.68</v>
      </c>
      <c r="C21" s="240">
        <v>4934.97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2163449.0000000005</v>
      </c>
      <c r="C22" s="231">
        <f>SUM(C19:C21)</f>
        <v>504774.8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405349.15</v>
      </c>
      <c r="C27" s="234">
        <f>'DOE25'!G198+'DOE25'!G216+'DOE25'!G234+'DOE25'!G277+'DOE25'!G296+'DOE25'!G315</f>
        <v>205730.07</v>
      </c>
    </row>
    <row r="28" spans="1:3" x14ac:dyDescent="0.2">
      <c r="A28" t="s">
        <v>779</v>
      </c>
      <c r="B28" s="240">
        <v>386752</v>
      </c>
      <c r="C28" s="240">
        <v>204213.67</v>
      </c>
    </row>
    <row r="29" spans="1:3" x14ac:dyDescent="0.2">
      <c r="A29" t="s">
        <v>780</v>
      </c>
      <c r="B29" s="240">
        <v>18597.150000000001</v>
      </c>
      <c r="C29" s="240">
        <v>1516.4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405349.15</v>
      </c>
      <c r="C31" s="231">
        <f>SUM(C28:C30)</f>
        <v>205730.07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322785.96999999997</v>
      </c>
      <c r="C36" s="235">
        <f>'DOE25'!G199+'DOE25'!G217+'DOE25'!G235+'DOE25'!G278+'DOE25'!G297+'DOE25'!G316</f>
        <v>51436.789999999994</v>
      </c>
    </row>
    <row r="37" spans="1:3" x14ac:dyDescent="0.2">
      <c r="A37" t="s">
        <v>779</v>
      </c>
      <c r="B37" s="240">
        <v>31289.68</v>
      </c>
      <c r="C37" s="240">
        <v>5933.24</v>
      </c>
    </row>
    <row r="38" spans="1:3" x14ac:dyDescent="0.2">
      <c r="A38" t="s">
        <v>780</v>
      </c>
      <c r="B38" s="240">
        <v>15642.19</v>
      </c>
      <c r="C38" s="240">
        <v>1235.5</v>
      </c>
    </row>
    <row r="39" spans="1:3" x14ac:dyDescent="0.2">
      <c r="A39" t="s">
        <v>781</v>
      </c>
      <c r="B39" s="240">
        <v>275854.09999999998</v>
      </c>
      <c r="C39" s="240">
        <v>44268.05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322785.96999999997</v>
      </c>
      <c r="C40" s="231">
        <f>SUM(C37:C39)</f>
        <v>51436.79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M27" sqref="M27:M2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Berlin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11208275.84</v>
      </c>
      <c r="D5" s="20">
        <f>SUM('DOE25'!L196:L199)+SUM('DOE25'!L214:L217)+SUM('DOE25'!L232:L235)-F5-G5</f>
        <v>11022043.17</v>
      </c>
      <c r="E5" s="243"/>
      <c r="F5" s="255">
        <f>SUM('DOE25'!J196:J199)+SUM('DOE25'!J214:J217)+SUM('DOE25'!J232:J235)</f>
        <v>176616.55</v>
      </c>
      <c r="G5" s="53">
        <f>SUM('DOE25'!K196:K199)+SUM('DOE25'!K214:K217)+SUM('DOE25'!K232:K235)</f>
        <v>9616.119999999999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1247619.2100000002</v>
      </c>
      <c r="D6" s="20">
        <f>'DOE25'!L201+'DOE25'!L219+'DOE25'!L237-F6-G6</f>
        <v>1244503.8500000001</v>
      </c>
      <c r="E6" s="243"/>
      <c r="F6" s="255">
        <f>'DOE25'!J201+'DOE25'!J219+'DOE25'!J237</f>
        <v>1366.36</v>
      </c>
      <c r="G6" s="53">
        <f>'DOE25'!K201+'DOE25'!K219+'DOE25'!K237</f>
        <v>1749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316680.11</v>
      </c>
      <c r="D7" s="20">
        <f>'DOE25'!L202+'DOE25'!L220+'DOE25'!L238-F7-G7</f>
        <v>315852.61</v>
      </c>
      <c r="E7" s="243"/>
      <c r="F7" s="255">
        <f>'DOE25'!J202+'DOE25'!J220+'DOE25'!J238</f>
        <v>827.5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362949.6907789355</v>
      </c>
      <c r="D8" s="243"/>
      <c r="E8" s="20">
        <f>'DOE25'!L203+'DOE25'!L221+'DOE25'!L239-F8-G8-D9-D11</f>
        <v>338913.39077893551</v>
      </c>
      <c r="F8" s="255">
        <f>'DOE25'!J203+'DOE25'!J221+'DOE25'!J239</f>
        <v>2994.44</v>
      </c>
      <c r="G8" s="53">
        <f>'DOE25'!K203+'DOE25'!K221+'DOE25'!K239</f>
        <v>21041.86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11589.89</v>
      </c>
      <c r="D9" s="244">
        <v>11589.89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222918.86922106464</v>
      </c>
      <c r="D11" s="244">
        <v>222918.86922106464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819978.35999999987</v>
      </c>
      <c r="D12" s="20">
        <f>'DOE25'!L204+'DOE25'!L222+'DOE25'!L240-F12-G12</f>
        <v>803724.78999999992</v>
      </c>
      <c r="E12" s="243"/>
      <c r="F12" s="255">
        <f>'DOE25'!J204+'DOE25'!J222+'DOE25'!J240</f>
        <v>8958.57</v>
      </c>
      <c r="G12" s="53">
        <f>'DOE25'!K204+'DOE25'!K222+'DOE25'!K240</f>
        <v>7295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233929.66999999998</v>
      </c>
      <c r="D13" s="243"/>
      <c r="E13" s="20">
        <f>'DOE25'!L205+'DOE25'!L223+'DOE25'!L241-F13-G13</f>
        <v>230577.27</v>
      </c>
      <c r="F13" s="255">
        <f>'DOE25'!J205+'DOE25'!J223+'DOE25'!J241</f>
        <v>0</v>
      </c>
      <c r="G13" s="53">
        <f>'DOE25'!K205+'DOE25'!K223+'DOE25'!K241</f>
        <v>3352.3999999999996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1701964</v>
      </c>
      <c r="D14" s="20">
        <f>'DOE25'!L206+'DOE25'!L224+'DOE25'!L242-F14-G14</f>
        <v>1668026.7</v>
      </c>
      <c r="E14" s="243"/>
      <c r="F14" s="255">
        <f>'DOE25'!J206+'DOE25'!J224+'DOE25'!J242</f>
        <v>33937.300000000003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434403.68000000005</v>
      </c>
      <c r="D15" s="20">
        <f>'DOE25'!L207+'DOE25'!L225+'DOE25'!L243-F15-G15</f>
        <v>357263.18000000005</v>
      </c>
      <c r="E15" s="243"/>
      <c r="F15" s="255">
        <f>'DOE25'!J207+'DOE25'!J225+'DOE25'!J243</f>
        <v>76750</v>
      </c>
      <c r="G15" s="53">
        <f>'DOE25'!K207+'DOE25'!K225+'DOE25'!K243</f>
        <v>390.49999999999994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8883.99</v>
      </c>
      <c r="D16" s="243"/>
      <c r="E16" s="20">
        <f>'DOE25'!L208+'DOE25'!L226+'DOE25'!L244-F16-G16</f>
        <v>8883.99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337719.79</v>
      </c>
      <c r="D29" s="20">
        <f>'DOE25'!L357+'DOE25'!L358+'DOE25'!L359-'DOE25'!I366-F29-G29</f>
        <v>336475.24</v>
      </c>
      <c r="E29" s="243"/>
      <c r="F29" s="255">
        <f>'DOE25'!J357+'DOE25'!J358+'DOE25'!J359</f>
        <v>0</v>
      </c>
      <c r="G29" s="53">
        <f>'DOE25'!K357+'DOE25'!K358+'DOE25'!K359</f>
        <v>1244.55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1641252.3900000001</v>
      </c>
      <c r="D31" s="20">
        <f>'DOE25'!L289+'DOE25'!L308+'DOE25'!L327+'DOE25'!L332+'DOE25'!L333+'DOE25'!L334-F31-G31</f>
        <v>1550937.8300000003</v>
      </c>
      <c r="E31" s="243"/>
      <c r="F31" s="255">
        <f>'DOE25'!J289+'DOE25'!J308+'DOE25'!J327+'DOE25'!J332+'DOE25'!J333+'DOE25'!J334</f>
        <v>53643.93</v>
      </c>
      <c r="G31" s="53">
        <f>'DOE25'!K289+'DOE25'!K308+'DOE25'!K327+'DOE25'!K332+'DOE25'!K333+'DOE25'!K334</f>
        <v>36670.629999999997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17533336.129221063</v>
      </c>
      <c r="E33" s="246">
        <f>SUM(E5:E31)</f>
        <v>578374.65077893552</v>
      </c>
      <c r="F33" s="246">
        <f>SUM(F5:F31)</f>
        <v>355094.64999999997</v>
      </c>
      <c r="G33" s="246">
        <f>SUM(G5:G31)</f>
        <v>81360.06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578374.65077893552</v>
      </c>
      <c r="E35" s="249"/>
    </row>
    <row r="36" spans="2:8" ht="12" thickTop="1" x14ac:dyDescent="0.2">
      <c r="B36" t="s">
        <v>815</v>
      </c>
      <c r="D36" s="20">
        <f>D33</f>
        <v>17533336.129221063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86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6911.32</v>
      </c>
      <c r="D8" s="95">
        <f>'DOE25'!G9</f>
        <v>19765.7</v>
      </c>
      <c r="E8" s="95">
        <f>'DOE25'!H9</f>
        <v>14608.220000000001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6911.32</v>
      </c>
      <c r="D18" s="41">
        <f>SUM(D8:D17)</f>
        <v>19765.7</v>
      </c>
      <c r="E18" s="41">
        <f>SUM(E8:E17)</f>
        <v>14608.220000000001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6911.32</v>
      </c>
      <c r="D46" s="95">
        <f>'DOE25'!G47</f>
        <v>19765.7</v>
      </c>
      <c r="E46" s="95">
        <f>'DOE25'!H47</f>
        <v>14608.22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6911.32</v>
      </c>
      <c r="D49" s="41">
        <f>SUM(D34:D48)</f>
        <v>19765.7</v>
      </c>
      <c r="E49" s="41">
        <f>SUM(E34:E48)</f>
        <v>14608.22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6911.32</v>
      </c>
      <c r="D50" s="41">
        <f>D49+D31</f>
        <v>19765.7</v>
      </c>
      <c r="E50" s="41">
        <f>E49+E31</f>
        <v>14608.22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2952756.7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1357606.98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3000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215260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15174.02</v>
      </c>
      <c r="D60" s="95">
        <f>SUM('DOE25'!G97:G109)</f>
        <v>0</v>
      </c>
      <c r="E60" s="95">
        <f>SUM('DOE25'!H97:H109)</f>
        <v>44150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1375781</v>
      </c>
      <c r="D61" s="130">
        <f>SUM(D56:D60)</f>
        <v>215260</v>
      </c>
      <c r="E61" s="130">
        <f>SUM(E56:E60)</f>
        <v>44150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4328537.7</v>
      </c>
      <c r="D62" s="22">
        <f>D55+D61</f>
        <v>215260</v>
      </c>
      <c r="E62" s="22">
        <f>E55+E61</f>
        <v>44150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10756851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807002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11563853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311512.83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59712.03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63084.61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10811.06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434309.47</v>
      </c>
      <c r="D77" s="130">
        <f>SUM(D71:D76)</f>
        <v>10811.06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11998162.470000001</v>
      </c>
      <c r="D80" s="130">
        <f>SUM(D78:D79)+D77+D69</f>
        <v>10811.06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190034.41</v>
      </c>
      <c r="D87" s="95">
        <f>SUM('DOE25'!G152:G160)</f>
        <v>382379.18</v>
      </c>
      <c r="E87" s="95">
        <f>SUM('DOE25'!H152:H160)</f>
        <v>1589872.21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22875.39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29865.84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242775.63999999998</v>
      </c>
      <c r="D90" s="131">
        <f>SUM(D84:D89)</f>
        <v>382379.18</v>
      </c>
      <c r="E90" s="131">
        <f>SUM(E84:E89)</f>
        <v>1589872.21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16569475.810000002</v>
      </c>
      <c r="D103" s="86">
        <f>D62+D80+D90+D102</f>
        <v>608450.24</v>
      </c>
      <c r="E103" s="86">
        <f>E62+E80+E90+E102</f>
        <v>1634022.21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7208381.3000000007</v>
      </c>
      <c r="D108" s="24" t="s">
        <v>289</v>
      </c>
      <c r="E108" s="95">
        <f>('DOE25'!L275)+('DOE25'!L294)+('DOE25'!L313)</f>
        <v>233595.87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3011987.46</v>
      </c>
      <c r="D109" s="24" t="s">
        <v>289</v>
      </c>
      <c r="E109" s="95">
        <f>('DOE25'!L276)+('DOE25'!L295)+('DOE25'!L314)</f>
        <v>709881.99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660790.85</v>
      </c>
      <c r="D110" s="24" t="s">
        <v>289</v>
      </c>
      <c r="E110" s="95">
        <f>('DOE25'!L277)+('DOE25'!L296)+('DOE25'!L315)</f>
        <v>1993.59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327116.23</v>
      </c>
      <c r="D111" s="24" t="s">
        <v>289</v>
      </c>
      <c r="E111" s="95">
        <f>+('DOE25'!L278)+('DOE25'!L297)+('DOE25'!L316)</f>
        <v>200644.48000000001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11208275.840000002</v>
      </c>
      <c r="D114" s="86">
        <f>SUM(D108:D113)</f>
        <v>0</v>
      </c>
      <c r="E114" s="86">
        <f>SUM(E108:E113)</f>
        <v>1146115.93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1247619.2100000002</v>
      </c>
      <c r="D117" s="24" t="s">
        <v>289</v>
      </c>
      <c r="E117" s="95">
        <f>+('DOE25'!L280)+('DOE25'!L299)+('DOE25'!L318)</f>
        <v>336352.38999999996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316680.11</v>
      </c>
      <c r="D118" s="24" t="s">
        <v>289</v>
      </c>
      <c r="E118" s="95">
        <f>+('DOE25'!L281)+('DOE25'!L300)+('DOE25'!L319)</f>
        <v>154436.12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597458.45000000007</v>
      </c>
      <c r="D119" s="24" t="s">
        <v>289</v>
      </c>
      <c r="E119" s="95">
        <f>+('DOE25'!L282)+('DOE25'!L301)+('DOE25'!L320)</f>
        <v>177.75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819978.35999999987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233929.66999999998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1701964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434403.68000000005</v>
      </c>
      <c r="D123" s="24" t="s">
        <v>289</v>
      </c>
      <c r="E123" s="95">
        <f>+('DOE25'!L286)+('DOE25'!L305)+('DOE25'!L324)</f>
        <v>4170.2000000000007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8883.99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641499.22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5360917.4700000007</v>
      </c>
      <c r="D127" s="86">
        <f>SUM(D117:D126)</f>
        <v>641499.22</v>
      </c>
      <c r="E127" s="86">
        <f>SUM(E117:E126)</f>
        <v>495136.45999999996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16569193.310000002</v>
      </c>
      <c r="D144" s="86">
        <f>(D114+D127+D143)</f>
        <v>641499.22</v>
      </c>
      <c r="E144" s="86">
        <f>(E114+E127+E143)</f>
        <v>1641252.39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15</v>
      </c>
      <c r="D150" s="153">
        <f>'DOE25'!H489</f>
        <v>10</v>
      </c>
      <c r="E150" s="153">
        <f>'DOE25'!I489</f>
        <v>29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12/97</v>
      </c>
      <c r="C151" s="152" t="str">
        <f>'DOE25'!G490</f>
        <v>12/97</v>
      </c>
      <c r="D151" s="152" t="str">
        <f>'DOE25'!H490</f>
        <v>07/06</v>
      </c>
      <c r="E151" s="152" t="str">
        <f>'DOE25'!I490</f>
        <v>01/10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01/13</v>
      </c>
      <c r="C152" s="152" t="str">
        <f>'DOE25'!G491</f>
        <v>01/13</v>
      </c>
      <c r="D152" s="152" t="str">
        <f>'DOE25'!H491</f>
        <v>07/16</v>
      </c>
      <c r="E152" s="152" t="str">
        <f>'DOE25'!I491</f>
        <v>08/25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1500000</v>
      </c>
      <c r="C153" s="137">
        <f>'DOE25'!G492</f>
        <v>4500000</v>
      </c>
      <c r="D153" s="137">
        <f>'DOE25'!H492</f>
        <v>1713290</v>
      </c>
      <c r="E153" s="137">
        <f>'DOE25'!I492</f>
        <v>577185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</v>
      </c>
      <c r="C154" s="137">
        <f>'DOE25'!G493</f>
        <v>4.7</v>
      </c>
      <c r="D154" s="137">
        <f>'DOE25'!H493</f>
        <v>4.3</v>
      </c>
      <c r="E154" s="137">
        <f>'DOE25'!I493</f>
        <v>2.8477199999999998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100000</v>
      </c>
      <c r="C155" s="137">
        <f>'DOE25'!G494</f>
        <v>300000</v>
      </c>
      <c r="D155" s="137">
        <f>'DOE25'!H494</f>
        <v>927229.09</v>
      </c>
      <c r="E155" s="137">
        <f>'DOE25'!I494</f>
        <v>365747.6</v>
      </c>
      <c r="F155" s="137">
        <f>'DOE25'!J494</f>
        <v>0</v>
      </c>
      <c r="G155" s="138">
        <f>SUM(B155:F155)</f>
        <v>1692976.69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100000</v>
      </c>
      <c r="C157" s="137">
        <f>'DOE25'!G496</f>
        <v>300000</v>
      </c>
      <c r="D157" s="137">
        <f>'DOE25'!H496</f>
        <v>169894.69</v>
      </c>
      <c r="E157" s="137">
        <f>'DOE25'!I496</f>
        <v>102189.67</v>
      </c>
      <c r="F157" s="137">
        <f>'DOE25'!J496</f>
        <v>0</v>
      </c>
      <c r="G157" s="138">
        <f t="shared" si="0"/>
        <v>672084.36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757334.39999999991</v>
      </c>
      <c r="E158" s="137">
        <f>'DOE25'!I497</f>
        <v>263556.93</v>
      </c>
      <c r="F158" s="137">
        <f>'DOE25'!J497</f>
        <v>0</v>
      </c>
      <c r="G158" s="138">
        <f t="shared" si="0"/>
        <v>1020891.3299999998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84715.88</v>
      </c>
      <c r="E159" s="137">
        <f>'DOE25'!I498</f>
        <v>93647.695504000003</v>
      </c>
      <c r="F159" s="137">
        <f>'DOE25'!J498</f>
        <v>0</v>
      </c>
      <c r="G159" s="138">
        <f t="shared" si="0"/>
        <v>178363.57550400001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842050.27999999991</v>
      </c>
      <c r="E160" s="137">
        <f>'DOE25'!I499</f>
        <v>357204.625504</v>
      </c>
      <c r="F160" s="137">
        <f>'DOE25'!J499</f>
        <v>0</v>
      </c>
      <c r="G160" s="138">
        <f t="shared" si="0"/>
        <v>1199254.9055039999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177337.04</v>
      </c>
      <c r="E161" s="137">
        <f>'DOE25'!I500</f>
        <v>0</v>
      </c>
      <c r="F161" s="137">
        <f>'DOE25'!J500</f>
        <v>0</v>
      </c>
      <c r="G161" s="138">
        <f t="shared" si="0"/>
        <v>177337.04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33175.53</v>
      </c>
      <c r="E162" s="137">
        <f>'DOE25'!I501</f>
        <v>7718.09</v>
      </c>
      <c r="F162" s="137">
        <f>'DOE25'!J501</f>
        <v>0</v>
      </c>
      <c r="G162" s="138">
        <f t="shared" si="0"/>
        <v>40893.619999999995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210512.57</v>
      </c>
      <c r="E163" s="137">
        <f>'DOE25'!I502</f>
        <v>7718.09</v>
      </c>
      <c r="F163" s="137">
        <f>'DOE25'!J502</f>
        <v>0</v>
      </c>
      <c r="G163" s="138">
        <f t="shared" si="0"/>
        <v>218230.66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Berlin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14338</v>
      </c>
    </row>
    <row r="5" spans="1:4" x14ac:dyDescent="0.2">
      <c r="B5" t="s">
        <v>704</v>
      </c>
      <c r="C5" s="179">
        <f>IF('DOE25'!G664+'DOE25'!G669=0,0,ROUND('DOE25'!G671,0))</f>
        <v>12225</v>
      </c>
    </row>
    <row r="6" spans="1:4" x14ac:dyDescent="0.2">
      <c r="B6" t="s">
        <v>62</v>
      </c>
      <c r="C6" s="179">
        <f>IF('DOE25'!H664+'DOE25'!H669=0,0,ROUND('DOE25'!H671,0))</f>
        <v>14519</v>
      </c>
    </row>
    <row r="7" spans="1:4" x14ac:dyDescent="0.2">
      <c r="B7" t="s">
        <v>705</v>
      </c>
      <c r="C7" s="179">
        <f>IF('DOE25'!I664+'DOE25'!I669=0,0,ROUND('DOE25'!I671,0))</f>
        <v>13825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7441977</v>
      </c>
      <c r="D10" s="182">
        <f>ROUND((C10/$C$28)*100,1)</f>
        <v>39.9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3721869</v>
      </c>
      <c r="D11" s="182">
        <f>ROUND((C11/$C$28)*100,1)</f>
        <v>20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662784</v>
      </c>
      <c r="D12" s="182">
        <f>ROUND((C12/$C$28)*100,1)</f>
        <v>3.6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527761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1583972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471116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606520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819978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233930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1701964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438574</v>
      </c>
      <c r="D21" s="182">
        <f t="shared" si="0"/>
        <v>2.4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426239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18636684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18636684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2952757</v>
      </c>
      <c r="D35" s="182">
        <f t="shared" ref="D35:D40" si="1">ROUND((C35/$C$41)*100,1)</f>
        <v>15.9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1419930.6999999993</v>
      </c>
      <c r="D36" s="182">
        <f t="shared" si="1"/>
        <v>7.6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11563853</v>
      </c>
      <c r="D37" s="182">
        <f t="shared" si="1"/>
        <v>62.2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445121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2215027</v>
      </c>
      <c r="D39" s="182">
        <f t="shared" si="1"/>
        <v>11.9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18596688.699999999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Berlin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19</v>
      </c>
      <c r="B4" s="219">
        <v>3</v>
      </c>
      <c r="C4" s="284" t="s">
        <v>914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19</v>
      </c>
      <c r="B5" s="219">
        <v>6</v>
      </c>
      <c r="C5" s="284" t="s">
        <v>915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20</v>
      </c>
      <c r="B6" s="219">
        <v>1</v>
      </c>
      <c r="C6" s="284" t="s">
        <v>917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2013-09-17T18:28:15Z</cp:lastPrinted>
  <dcterms:created xsi:type="dcterms:W3CDTF">1997-12-04T19:04:30Z</dcterms:created>
  <dcterms:modified xsi:type="dcterms:W3CDTF">2013-12-05T18:35:50Z</dcterms:modified>
</cp:coreProperties>
</file>