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6" i="1" l="1"/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1" i="10" s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5" i="10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C19" i="10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G62" i="2" s="1"/>
  <c r="G103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I111" i="1" s="1"/>
  <c r="F78" i="1"/>
  <c r="F93" i="1"/>
  <c r="F110" i="1"/>
  <c r="G110" i="1"/>
  <c r="G111" i="1" s="1"/>
  <c r="H78" i="1"/>
  <c r="H93" i="1"/>
  <c r="H110" i="1"/>
  <c r="I110" i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6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L246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C31" i="2" s="1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I458" i="1"/>
  <c r="J47" i="1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H50" i="1"/>
  <c r="H51" i="1" s="1"/>
  <c r="H618" i="1" s="1"/>
  <c r="I50" i="1"/>
  <c r="I51" i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H256" i="1" s="1"/>
  <c r="H270" i="1" s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K336" i="1"/>
  <c r="K337" i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J642" i="1" s="1"/>
  <c r="G407" i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H641" i="1" s="1"/>
  <c r="F469" i="1"/>
  <c r="G469" i="1"/>
  <c r="H469" i="1"/>
  <c r="I469" i="1"/>
  <c r="J469" i="1"/>
  <c r="F473" i="1"/>
  <c r="F475" i="1" s="1"/>
  <c r="H621" i="1" s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I544" i="1" s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H649" i="1" s="1"/>
  <c r="J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H639" i="1"/>
  <c r="G640" i="1"/>
  <c r="H640" i="1"/>
  <c r="G642" i="1"/>
  <c r="G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/>
  <c r="G256" i="1"/>
  <c r="G270" i="1" s="1"/>
  <c r="C18" i="2"/>
  <c r="F31" i="2"/>
  <c r="C26" i="10"/>
  <c r="L327" i="1"/>
  <c r="H659" i="1" s="1"/>
  <c r="L350" i="1"/>
  <c r="L289" i="1"/>
  <c r="A31" i="12"/>
  <c r="C69" i="2"/>
  <c r="D12" i="13"/>
  <c r="C12" i="13" s="1"/>
  <c r="G161" i="2"/>
  <c r="D61" i="2"/>
  <c r="D62" i="2" s="1"/>
  <c r="D103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E8" i="13"/>
  <c r="C8" i="13" s="1"/>
  <c r="G158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D29" i="13"/>
  <c r="C29" i="13" s="1"/>
  <c r="D19" i="13"/>
  <c r="C19" i="13"/>
  <c r="D14" i="13"/>
  <c r="C14" i="13" s="1"/>
  <c r="E13" i="13"/>
  <c r="C13" i="13"/>
  <c r="E77" i="2"/>
  <c r="E80" i="2" s="1"/>
  <c r="L426" i="1"/>
  <c r="J256" i="1"/>
  <c r="J270" i="1" s="1"/>
  <c r="H111" i="1"/>
  <c r="F111" i="1"/>
  <c r="J640" i="1"/>
  <c r="J570" i="1"/>
  <c r="K570" i="1"/>
  <c r="L432" i="1"/>
  <c r="L418" i="1"/>
  <c r="D80" i="2"/>
  <c r="I168" i="1"/>
  <c r="H168" i="1"/>
  <c r="J475" i="1"/>
  <c r="H625" i="1" s="1"/>
  <c r="H475" i="1"/>
  <c r="H623" i="1" s="1"/>
  <c r="J623" i="1" s="1"/>
  <c r="I475" i="1"/>
  <c r="H624" i="1" s="1"/>
  <c r="J624" i="1" s="1"/>
  <c r="G337" i="1"/>
  <c r="G351" i="1" s="1"/>
  <c r="F168" i="1"/>
  <c r="J139" i="1"/>
  <c r="F570" i="1"/>
  <c r="K544" i="1"/>
  <c r="C29" i="10"/>
  <c r="H139" i="1"/>
  <c r="L400" i="1"/>
  <c r="C138" i="2"/>
  <c r="L392" i="1"/>
  <c r="C137" i="2" s="1"/>
  <c r="C140" i="2" s="1"/>
  <c r="A13" i="12"/>
  <c r="F22" i="13"/>
  <c r="H25" i="13"/>
  <c r="C25" i="13" s="1"/>
  <c r="J639" i="1"/>
  <c r="H570" i="1"/>
  <c r="L559" i="1"/>
  <c r="L570" i="1" s="1"/>
  <c r="J544" i="1"/>
  <c r="H337" i="1"/>
  <c r="H351" i="1" s="1"/>
  <c r="F337" i="1"/>
  <c r="F351" i="1" s="1"/>
  <c r="G191" i="1"/>
  <c r="H191" i="1"/>
  <c r="E127" i="2"/>
  <c r="C35" i="10"/>
  <c r="L308" i="1"/>
  <c r="D5" i="13"/>
  <c r="C5" i="13" s="1"/>
  <c r="E16" i="13"/>
  <c r="C49" i="2"/>
  <c r="J654" i="1"/>
  <c r="J644" i="1"/>
  <c r="L569" i="1"/>
  <c r="I570" i="1"/>
  <c r="G36" i="2"/>
  <c r="L564" i="1"/>
  <c r="G544" i="1"/>
  <c r="L544" i="1"/>
  <c r="H544" i="1"/>
  <c r="C22" i="13"/>
  <c r="C16" i="13"/>
  <c r="H33" i="13"/>
  <c r="C24" i="10"/>
  <c r="G31" i="13"/>
  <c r="G33" i="13"/>
  <c r="I337" i="1"/>
  <c r="I351" i="1"/>
  <c r="L406" i="1"/>
  <c r="C139" i="2" s="1"/>
  <c r="I191" i="1"/>
  <c r="E90" i="2"/>
  <c r="J653" i="1"/>
  <c r="J652" i="1"/>
  <c r="L433" i="1"/>
  <c r="G637" i="1" s="1"/>
  <c r="J637" i="1"/>
  <c r="J433" i="1"/>
  <c r="F433" i="1"/>
  <c r="K433" i="1"/>
  <c r="G133" i="2"/>
  <c r="G143" i="2" s="1"/>
  <c r="G144" i="2" s="1"/>
  <c r="C6" i="10"/>
  <c r="F31" i="13"/>
  <c r="F33" i="13" s="1"/>
  <c r="F103" i="2"/>
  <c r="G168" i="1"/>
  <c r="G139" i="1"/>
  <c r="F139" i="1"/>
  <c r="C5" i="10"/>
  <c r="G42" i="2"/>
  <c r="G16" i="2"/>
  <c r="D31" i="13"/>
  <c r="C31" i="13" s="1"/>
  <c r="F544" i="1"/>
  <c r="H433" i="1"/>
  <c r="J618" i="1"/>
  <c r="D102" i="2"/>
  <c r="I139" i="1"/>
  <c r="I192" i="1"/>
  <c r="G629" i="1" s="1"/>
  <c r="J629" i="1" s="1"/>
  <c r="A22" i="12"/>
  <c r="J651" i="1"/>
  <c r="G570" i="1"/>
  <c r="I433" i="1"/>
  <c r="G433" i="1"/>
  <c r="I662" i="1"/>
  <c r="G475" i="1" l="1"/>
  <c r="H622" i="1" s="1"/>
  <c r="J622" i="1" s="1"/>
  <c r="L407" i="1"/>
  <c r="J192" i="1"/>
  <c r="G630" i="1" s="1"/>
  <c r="J630" i="1" s="1"/>
  <c r="G46" i="2"/>
  <c r="G49" i="2" s="1"/>
  <c r="J50" i="1"/>
  <c r="G625" i="1" s="1"/>
  <c r="J638" i="1"/>
  <c r="I445" i="1"/>
  <c r="G641" i="1" s="1"/>
  <c r="J641" i="1" s="1"/>
  <c r="J625" i="1"/>
  <c r="E33" i="13"/>
  <c r="D35" i="13" s="1"/>
  <c r="K597" i="1"/>
  <c r="G646" i="1" s="1"/>
  <c r="J646" i="1" s="1"/>
  <c r="K604" i="1"/>
  <c r="G647" i="1" s="1"/>
  <c r="K499" i="1"/>
  <c r="J633" i="1"/>
  <c r="D50" i="2"/>
  <c r="G51" i="1"/>
  <c r="H617" i="1" s="1"/>
  <c r="J617" i="1" s="1"/>
  <c r="G621" i="1"/>
  <c r="J621" i="1"/>
  <c r="C50" i="2"/>
  <c r="G192" i="1"/>
  <c r="G627" i="1" s="1"/>
  <c r="J627" i="1" s="1"/>
  <c r="C38" i="10"/>
  <c r="H192" i="1"/>
  <c r="G628" i="1" s="1"/>
  <c r="J628" i="1" s="1"/>
  <c r="C120" i="2"/>
  <c r="J616" i="1"/>
  <c r="C80" i="2"/>
  <c r="C103" i="2" s="1"/>
  <c r="F192" i="1"/>
  <c r="G626" i="1" s="1"/>
  <c r="J626" i="1" s="1"/>
  <c r="L210" i="1"/>
  <c r="L256" i="1" s="1"/>
  <c r="L270" i="1" s="1"/>
  <c r="G631" i="1" s="1"/>
  <c r="J631" i="1" s="1"/>
  <c r="D6" i="13"/>
  <c r="C6" i="13" s="1"/>
  <c r="C117" i="2"/>
  <c r="C127" i="2" s="1"/>
  <c r="G660" i="1"/>
  <c r="C10" i="10"/>
  <c r="D144" i="2"/>
  <c r="H660" i="1"/>
  <c r="L361" i="1"/>
  <c r="C36" i="10"/>
  <c r="C109" i="2"/>
  <c r="C114" i="2" s="1"/>
  <c r="L337" i="1"/>
  <c r="L351" i="1" s="1"/>
  <c r="G632" i="1" s="1"/>
  <c r="J632" i="1" s="1"/>
  <c r="E144" i="2"/>
  <c r="G645" i="1"/>
  <c r="G8" i="2"/>
  <c r="G18" i="2" s="1"/>
  <c r="J19" i="1"/>
  <c r="G620" i="1" s="1"/>
  <c r="G551" i="1"/>
  <c r="G160" i="2"/>
  <c r="H551" i="1"/>
  <c r="K550" i="1"/>
  <c r="C39" i="10"/>
  <c r="E103" i="2"/>
  <c r="J351" i="1"/>
  <c r="H647" i="1"/>
  <c r="G163" i="2"/>
  <c r="C143" i="2"/>
  <c r="J32" i="1"/>
  <c r="G21" i="2"/>
  <c r="G31" i="2" s="1"/>
  <c r="I551" i="1"/>
  <c r="K549" i="1"/>
  <c r="I661" i="1"/>
  <c r="K548" i="1"/>
  <c r="F551" i="1"/>
  <c r="G659" i="1"/>
  <c r="K502" i="1"/>
  <c r="G636" i="1" l="1"/>
  <c r="J636" i="1" s="1"/>
  <c r="H645" i="1"/>
  <c r="J645" i="1" s="1"/>
  <c r="G50" i="2"/>
  <c r="J51" i="1"/>
  <c r="H620" i="1" s="1"/>
  <c r="J620" i="1" s="1"/>
  <c r="J647" i="1"/>
  <c r="D33" i="13"/>
  <c r="D36" i="13" s="1"/>
  <c r="F659" i="1"/>
  <c r="F663" i="1" s="1"/>
  <c r="F666" i="1" s="1"/>
  <c r="I660" i="1"/>
  <c r="C144" i="2"/>
  <c r="G634" i="1"/>
  <c r="J634" i="1" s="1"/>
  <c r="C27" i="10"/>
  <c r="C28" i="10" s="1"/>
  <c r="D18" i="10" s="1"/>
  <c r="H663" i="1"/>
  <c r="C41" i="10"/>
  <c r="D37" i="10" s="1"/>
  <c r="K551" i="1"/>
  <c r="I659" i="1"/>
  <c r="I663" i="1" s="1"/>
  <c r="G663" i="1"/>
  <c r="F671" i="1" l="1"/>
  <c r="C4" i="10" s="1"/>
  <c r="D35" i="10"/>
  <c r="D38" i="10"/>
  <c r="D39" i="10"/>
  <c r="D36" i="10"/>
  <c r="D40" i="10"/>
  <c r="H655" i="1"/>
  <c r="D17" i="10"/>
  <c r="D12" i="10"/>
  <c r="D15" i="10"/>
  <c r="D19" i="10"/>
  <c r="D21" i="10"/>
  <c r="D24" i="10"/>
  <c r="H666" i="1"/>
  <c r="H671" i="1"/>
  <c r="D23" i="10"/>
  <c r="D26" i="10"/>
  <c r="D13" i="10"/>
  <c r="D25" i="10"/>
  <c r="D22" i="10"/>
  <c r="D11" i="10"/>
  <c r="D20" i="10"/>
  <c r="D16" i="10"/>
  <c r="D10" i="10"/>
  <c r="D27" i="10"/>
  <c r="C30" i="10"/>
  <c r="I671" i="1"/>
  <c r="C7" i="10" s="1"/>
  <c r="I666" i="1"/>
  <c r="G666" i="1"/>
  <c r="G671" i="1"/>
  <c r="D41" i="10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<sst xmlns="http://schemas.openxmlformats.org/spreadsheetml/2006/main" count="3948" uniqueCount="912">
  <si>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</si>
  <si>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</si>
  <si>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</si>
  <si>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</si>
  <si>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</si>
  <si>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</si>
  <si>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</si>
  <si>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</si>
  <si>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</si>
  <si>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</si>
  <si>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</si>
  <si>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</si>
  <si>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</si>
  <si>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</si>
  <si>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</si>
  <si>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</si>
  <si>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</si>
  <si>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</si>
  <si>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</si>
  <si>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</si>
  <si>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</si>
  <si>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</si>
  <si>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</si>
  <si>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</si>
  <si>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</si>
  <si>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</si>
  <si>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</si>
  <si>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</si>
  <si>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</si>
  <si>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</si>
  <si>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</si>
  <si>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</si>
  <si>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</si>
  <si>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</si>
  <si>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</si>
  <si>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</si>
  <si>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</si>
  <si>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</si>
  <si>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</si>
  <si>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</si>
  <si>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</si>
  <si>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</si>
  <si>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</si>
  <si>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</si>
  <si>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</si>
  <si>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</si>
  <si>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</si>
  <si>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</si>
  <si>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</si>
  <si>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</si>
  <si>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</si>
  <si>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</si>
  <si>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</si>
  <si>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</si>
  <si>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</si>
  <si>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</si>
  <si>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</si>
  <si>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</si>
  <si>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</si>
  <si>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</si>
  <si>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</si>
  <si>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</si>
  <si>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</si>
  <si>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</si>
  <si>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</si>
  <si>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</si>
  <si>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</si>
  <si>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</si>
  <si>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</si>
  <si>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</si>
  <si>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</si>
  <si>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</si>
  <si>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</si>
  <si>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</si>
  <si>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</si>
  <si>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</si>
  <si>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</si>
  <si>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</si>
  <si>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</si>
  <si>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</si>
  <si>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</si>
  <si>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</si>
  <si>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</si>
  <si>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</si>
  <si>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</si>
  <si>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</si>
  <si>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</si>
  <si>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</si>
  <si>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</si>
  <si>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</si>
  <si>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</si>
  <si>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</si>
  <si>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</si>
  <si>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</si>
  <si>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</si>
  <si>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</si>
  <si>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</si>
  <si>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</si>
  <si>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</si>
  <si>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</si>
  <si>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</si>
  <si>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</si>
  <si>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</si>
  <si>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</si>
  <si>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</si>
  <si>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</si>
  <si>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</si>
  <si>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</si>
  <si>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</si>
  <si>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</si>
  <si>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</si>
  <si>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</si>
  <si>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</si>
  <si>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</si>
  <si>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</si>
  <si>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</si>
  <si>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</si>
  <si>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</si>
  <si>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</si>
  <si>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</si>
  <si>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</si>
  <si>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</si>
  <si>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</si>
  <si>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</si>
  <si>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</si>
  <si>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</si>
  <si>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</si>
  <si>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</si>
  <si>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</si>
  <si>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</si>
  <si>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</si>
  <si>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</si>
  <si>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</si>
  <si>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</si>
  <si>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</si>
  <si>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</si>
  <si>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</si>
  <si>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</si>
  <si>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</si>
  <si>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</si>
  <si>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</si>
  <si>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</si>
  <si>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</si>
  <si>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</si>
  <si>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</si>
  <si>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</si>
  <si>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</si>
  <si>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</si>
  <si>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</si>
  <si>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</si>
  <si>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</si>
  <si>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</si>
  <si>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</si>
  <si>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</si>
  <si>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</si>
  <si>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</si>
  <si>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</si>
  <si>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</si>
  <si>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</si>
  <si>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</si>
  <si>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</si>
  <si>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</si>
  <si>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</si>
  <si>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</si>
  <si>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</si>
  <si>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</si>
  <si>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</si>
  <si>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</si>
  <si>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</si>
  <si>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</si>
  <si>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</si>
  <si>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</si>
  <si>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</si>
  <si>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</si>
  <si>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</si>
  <si>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</si>
  <si>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</si>
  <si>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</si>
  <si>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</si>
  <si>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</si>
  <si>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</si>
  <si>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</si>
  <si>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</si>
  <si>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</si>
  <si>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</si>
  <si>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</si>
  <si>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</si>
  <si>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</si>
  <si>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</si>
  <si>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</si>
  <si>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</si>
  <si>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</si>
  <si>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</si>
  <si>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</si>
  <si>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</si>
  <si>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</si>
  <si>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</si>
  <si>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</si>
  <si>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</si>
  <si>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</si>
  <si>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</si>
  <si>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</si>
  <si>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</si>
  <si>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</si>
  <si>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</si>
  <si>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</si>
  <si>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</si>
  <si>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</si>
  <si>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</si>
  <si>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</si>
  <si>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</si>
  <si>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</si>
  <si>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</si>
  <si>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</si>
  <si>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</si>
  <si>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</si>
  <si>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</si>
  <si>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</si>
  <si>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</si>
  <si>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</si>
  <si>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</si>
  <si>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</si>
  <si>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</si>
  <si>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</si>
  <si>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</si>
  <si>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</si>
  <si>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</si>
  <si>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</si>
  <si>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</si>
  <si>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</si>
  <si>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</si>
  <si>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</si>
  <si>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</si>
  <si>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</si>
  <si>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</si>
  <si>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</si>
  <si>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</si>
  <si>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</si>
  <si>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</si>
  <si>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</si>
  <si>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</si>
  <si>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</si>
  <si>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</si>
  <si>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</si>
  <si>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</si>
  <si>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</si>
  <si>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</si>
  <si>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</si>
  <si>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</si>
  <si>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</si>
  <si>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</si>
  <si>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</si>
  <si>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</si>
  <si>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</si>
  <si>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</si>
  <si>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</si>
  <si>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</si>
  <si>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</si>
  <si>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</si>
  <si>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</si>
  <si>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</si>
  <si>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</si>
  <si>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</si>
  <si>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</si>
  <si>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</si>
  <si>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</si>
  <si>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</si>
  <si>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</si>
  <si>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</si>
  <si>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</si>
  <si>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</si>
  <si>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</si>
  <si>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</si>
  <si>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</si>
  <si>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</si>
  <si>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</si>
  <si>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</si>
  <si>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</si>
  <si>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</si>
  <si>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</si>
  <si>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</si>
  <si>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</si>
  <si>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</si>
  <si>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</si>
  <si>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</si>
  <si>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</si>
  <si>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</si>
  <si>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</si>
  <si>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</si>
  <si>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</si>
  <si>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</si>
  <si>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</si>
  <si>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</si>
  <si>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</si>
  <si>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</si>
  <si>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</si>
  <si>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</si>
  <si>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</si>
  <si>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</si>
  <si>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</si>
  <si>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</si>
  <si>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</si>
  <si>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</si>
  <si>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</si>
  <si>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</si>
  <si>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</si>
  <si>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</si>
  <si>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</si>
  <si>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</si>
  <si>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</si>
  <si>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</si>
  <si>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</si>
  <si>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</si>
  <si>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</si>
  <si>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</si>
  <si>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</si>
  <si>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</si>
  <si>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</si>
  <si>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</si>
  <si>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</si>
  <si>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</si>
  <si>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</si>
  <si>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</si>
  <si>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</si>
  <si>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</si>
  <si>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</si>
  <si>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</si>
  <si>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</si>
  <si>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</si>
  <si>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</si>
  <si>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</si>
  <si>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</si>
  <si>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</si>
  <si>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</si>
  <si>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</si>
  <si>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</si>
  <si>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</si>
  <si>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</si>
  <si>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</si>
  <si>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</si>
  <si>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</si>
  <si>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</si>
  <si>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</si>
  <si>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</si>
  <si>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</si>
  <si>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</si>
  <si>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</si>
  <si>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</si>
  <si>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</si>
  <si>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</si>
  <si>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</si>
  <si>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</si>
  <si>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</si>
  <si>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</si>
  <si>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</si>
  <si>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</si>
  <si>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</si>
  <si>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</si>
  <si>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</si>
  <si>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</si>
  <si>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</si>
  <si>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</si>
  <si>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</si>
  <si>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</si>
  <si>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</si>
  <si>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</si>
  <si>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</si>
  <si>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</si>
  <si>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</si>
  <si>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</si>
  <si>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</si>
  <si>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</si>
  <si>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</si>
  <si>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</si>
  <si>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</si>
  <si>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</si>
  <si>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</si>
  <si>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</si>
  <si>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</si>
  <si>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</si>
  <si>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</si>
  <si>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</si>
  <si>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</si>
  <si>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</si>
  <si>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</si>
  <si>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</si>
  <si>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</si>
  <si>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</si>
  <si>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</si>
  <si>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</si>
  <si>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</si>
  <si>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</si>
  <si>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</si>
  <si>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</si>
  <si>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</si>
  <si>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</si>
  <si>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</si>
  <si>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</si>
  <si>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</si>
  <si>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</si>
  <si>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</si>
  <si>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</si>
  <si>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</si>
  <si>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</si>
  <si>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</si>
  <si>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</si>
  <si>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</si>
  <si>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</si>
  <si>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</si>
  <si>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</si>
  <si>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</si>
  <si>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</si>
  <si>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</si>
  <si>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</si>
  <si>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</si>
  <si>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</si>
  <si>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</si>
  <si>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</si>
  <si>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</si>
  <si>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</si>
  <si>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</si>
  <si>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</si>
  <si>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</si>
  <si>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</si>
  <si>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</si>
  <si>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</si>
  <si>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</si>
  <si>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</si>
  <si>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</si>
  <si>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</si>
  <si>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</si>
  <si>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</si>
  <si>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</si>
  <si>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</si>
  <si>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</si>
  <si>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</si>
  <si>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</si>
  <si>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</si>
  <si>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</si>
  <si>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</si>
  <si>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</si>
  <si>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</si>
  <si>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</si>
  <si>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</si>
  <si>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</si>
  <si>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</si>
  <si>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</si>
  <si>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</si>
  <si>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</si>
  <si>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</si>
  <si>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</si>
  <si>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</si>
  <si>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</si>
  <si>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</si>
  <si>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</si>
  <si>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</si>
  <si>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</si>
  <si>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</si>
  <si>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</si>
  <si>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</si>
  <si>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</si>
  <si>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</si>
  <si>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</si>
  <si>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</si>
  <si>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</si>
  <si>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</si>
  <si>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</si>
  <si>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</si>
  <si>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</si>
  <si>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</si>
  <si>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</si>
  <si>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</si>
  <si>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</si>
  <si>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</si>
  <si>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</si>
  <si>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</si>
  <si>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</si>
  <si>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</si>
  <si>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</si>
  <si>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</si>
  <si>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</si>
  <si>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</si>
  <si>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</si>
  <si>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</si>
  <si>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</si>
  <si>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</si>
  <si>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</si>
  <si>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</si>
  <si>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</si>
  <si>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</si>
  <si>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</si>
  <si>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</si>
  <si>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</si>
  <si>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</si>
  <si>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</si>
  <si>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</si>
  <si>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</si>
  <si>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</si>
  <si>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</si>
  <si>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</si>
  <si>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</si>
  <si>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</si>
  <si>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</si>
  <si>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</si>
  <si>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</si>
  <si>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</si>
  <si>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</si>
  <si>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</si>
  <si>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</si>
  <si>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</si>
  <si>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</si>
  <si>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</si>
  <si>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</si>
  <si>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</si>
  <si>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</si>
  <si>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</si>
  <si>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</si>
  <si>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</si>
  <si>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</si>
  <si>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</si>
  <si>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</si>
  <si>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</si>
  <si>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</si>
  <si>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</si>
  <si>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</si>
  <si>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</si>
  <si>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</si>
  <si>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</si>
  <si>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</si>
  <si>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</si>
  <si>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</si>
  <si>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</si>
  <si>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</si>
  <si>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</si>
  <si>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</si>
  <si>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</si>
  <si>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</si>
  <si>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</si>
  <si>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</si>
  <si>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</si>
  <si>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</si>
  <si>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</si>
  <si>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</si>
  <si>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</si>
  <si>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</si>
  <si>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</si>
  <si>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</si>
  <si>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</si>
  <si>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</si>
  <si>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</si>
  <si>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</si>
  <si>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</si>
  <si>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</si>
  <si>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</si>
  <si>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</si>
  <si>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</si>
  <si>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</si>
  <si>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</si>
  <si>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</si>
  <si>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</si>
  <si>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</si>
  <si>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</si>
  <si>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</si>
  <si>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</si>
  <si>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</si>
  <si>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</si>
  <si>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</si>
  <si>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</si>
  <si>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</si>
  <si>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</si>
  <si>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</si>
  <si>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</si>
  <si>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</si>
  <si>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</si>
  <si>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</si>
  <si>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</si>
  <si>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</si>
  <si>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</si>
  <si>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</si>
  <si>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</si>
  <si>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</si>
  <si>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</si>
  <si>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</si>
  <si>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</si>
  <si>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</si>
  <si>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</si>
  <si>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</si>
  <si>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</si>
  <si>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</si>
  <si>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</si>
  <si>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</si>
  <si>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</si>
  <si>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</si>
  <si>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</si>
  <si>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</si>
  <si>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</si>
  <si>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</si>
  <si>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</si>
  <si>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</si>
  <si>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</si>
  <si>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</si>
  <si>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</si>
  <si>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</si>
  <si>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</si>
  <si>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</si>
  <si>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</si>
  <si>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</si>
  <si>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</si>
  <si>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</si>
  <si>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</si>
  <si>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</si>
  <si>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</si>
  <si>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</si>
  <si>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</si>
  <si>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</si>
  <si>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</si>
  <si>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</si>
  <si>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</si>
  <si>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</si>
  <si>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</si>
  <si>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</si>
  <si>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</si>
  <si>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</si>
  <si>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</si>
  <si>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</si>
  <si>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</si>
  <si>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</si>
  <si>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</si>
  <si>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</si>
  <si>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</si>
  <si>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</si>
  <si>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</si>
  <si>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</si>
  <si>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</si>
  <si>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</si>
  <si>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</si>
  <si>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</si>
  <si>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</si>
  <si>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</si>
  <si>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</si>
  <si>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</si>
  <si>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</si>
  <si>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</si>
  <si>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</si>
  <si>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</si>
  <si>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</si>
  <si>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</si>
  <si>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</si>
  <si>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</si>
  <si>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</si>
  <si>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</si>
  <si>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</si>
  <si>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</si>
  <si>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</si>
  <si>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</si>
  <si>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</si>
  <si>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</si>
  <si>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</si>
  <si>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</si>
  <si>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</si>
  <si>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</si>
  <si>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</si>
  <si>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</si>
  <si>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</si>
  <si>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</si>
  <si>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</si>
  <si>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</si>
  <si>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</si>
  <si>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</si>
  <si>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</si>
  <si>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</si>
  <si>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</si>
  <si>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</si>
  <si>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</si>
  <si>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</si>
  <si>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</si>
  <si>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</si>
  <si>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</si>
  <si>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</si>
  <si>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</si>
  <si>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</si>
  <si>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</si>
  <si>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</si>
  <si>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</si>
  <si>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</si>
  <si>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</si>
  <si>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</si>
  <si>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</si>
  <si>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</si>
  <si>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</si>
  <si>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</si>
  <si>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</si>
  <si>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</si>
  <si>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</si>
  <si>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</si>
  <si>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</si>
  <si>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</si>
  <si>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</si>
  <si>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</si>
  <si>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</si>
  <si>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</si>
  <si>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</si>
  <si>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</si>
  <si>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</si>
  <si>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</si>
  <si>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</si>
  <si>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</si>
  <si>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</si>
  <si>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</si>
  <si>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</si>
  <si>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</si>
  <si>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</si>
  <si>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</si>
  <si>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</si>
  <si>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</si>
  <si>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</si>
  <si>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</si>
  <si>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</si>
  <si>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</si>
  <si>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</si>
  <si>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</si>
  <si>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</si>
  <si>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</si>
  <si>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</si>
  <si>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</si>
  <si>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</si>
  <si>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</si>
  <si>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</si>
  <si>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</si>
  <si>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</si>
  <si>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</si>
  <si>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</si>
  <si>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</si>
  <si>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</si>
  <si>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</si>
  <si>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</si>
  <si>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</si>
  <si>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</si>
  <si>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</si>
  <si>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</si>
  <si>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</si>
  <si>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</si>
  <si>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</si>
  <si>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</si>
  <si>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</si>
  <si>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</si>
  <si>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</si>
  <si>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</si>
  <si>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</si>
  <si>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</si>
  <si>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</si>
  <si>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</si>
  <si>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</si>
  <si>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</si>
  <si>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</si>
  <si>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</si>
  <si>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</si>
  <si>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</si>
  <si>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</si>
  <si>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</si>
  <si>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</si>
  <si>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</si>
  <si>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</si>
  <si>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</si>
  <si>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</si>
  <si>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</si>
  <si>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</si>
  <si>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</si>
  <si>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</si>
  <si>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</si>
  <si>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</si>
  <si>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</si>
  <si>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</si>
  <si>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</si>
  <si>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</si>
  <si>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</si>
  <si>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</si>
  <si>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</si>
  <si>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</si>
  <si>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</si>
  <si>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</si>
  <si>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</si>
  <si>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</si>
  <si>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</si>
  <si>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</si>
  <si>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</si>
  <si>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</si>
  <si>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</si>
  <si>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</si>
  <si>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</si>
  <si>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</si>
  <si>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</si>
  <si>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</si>
  <si>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</si>
  <si>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</si>
  <si>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</si>
  <si>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</si>
  <si>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</si>
  <si>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</si>
  <si>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</si>
  <si>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</si>
  <si>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</si>
  <si>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</si>
  <si>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</si>
  <si>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</si>
  <si>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</si>
  <si>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</si>
  <si>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</si>
  <si>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</si>
  <si>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</si>
  <si>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</si>
  <si>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</si>
  <si>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</si>
  <si>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</si>
  <si>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</si>
  <si>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</si>
  <si>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</si>
  <si>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</si>
  <si>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</si>
  <si>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</si>
  <si>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</si>
  <si>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</si>
  <si>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</si>
  <si>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</si>
  <si>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</si>
  <si>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</si>
  <si>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</si>
  <si>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</si>
  <si>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</si>
  <si>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</si>
  <si>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</si>
  <si>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</si>
  <si>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</si>
  <si>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</si>
  <si>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</si>
  <si>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</si>
  <si>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</si>
  <si>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</si>
  <si>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</si>
  <si>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</si>
  <si>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</si>
  <si>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</si>
  <si>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</si>
  <si>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</si>
  <si>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</si>
  <si>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</si>
  <si>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</si>
  <si>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</si>
  <si>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</si>
  <si>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</si>
  <si>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</si>
  <si>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</si>
  <si>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</si>
  <si>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</si>
  <si>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</si>
  <si>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</si>
  <si>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</si>
  <si>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</si>
  <si>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</si>
  <si>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</si>
  <si>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</si>
  <si>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</si>
  <si>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</si>
  <si>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</si>
  <si>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</si>
  <si>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</si>
  <si>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</si>
  <si>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</si>
  <si>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</si>
  <si>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</si>
  <si>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</si>
  <si>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</si>
  <si>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</si>
  <si>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</si>
  <si>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</si>
  <si>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</si>
  <si>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</si>
  <si>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</si>
  <si>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</si>
  <si>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</si>
  <si>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</si>
  <si>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</si>
  <si>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</si>
  <si>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</si>
  <si>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</si>
  <si>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</si>
  <si>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</si>
  <si>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</si>
  <si>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</si>
  <si>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</si>
  <si>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</si>
  <si>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</si>
  <si>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</si>
  <si>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</si>
  <si>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</si>
  <si>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</si>
  <si>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</si>
  <si>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</si>
  <si>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</si>
  <si>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</si>
  <si>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</si>
  <si>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</si>
  <si>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</si>
  <si>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</si>
  <si>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</si>
  <si>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</si>
  <si>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</si>
  <si>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</si>
  <si>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</si>
  <si>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Brentwood School District</t>
  </si>
  <si>
    <t>08/01</t>
  </si>
  <si>
    <t>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</si>
</sst>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518" activePane="bottomRight" state="frozen"/>
      <selection pane="topRight" activeCell="F1" sqref="F1"/>
      <selection pane="bottomLeft" activeCell="A4" sqref="A4"/>
      <selection pane="bottomRight" activeCell="H540" sqref="H54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63</v>
      </c>
      <c r="C2" s="21">
        <v>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53511.91</v>
      </c>
      <c r="G9" s="18"/>
      <c r="H9" s="18"/>
      <c r="I9" s="18"/>
      <c r="J9" s="67">
        <f>SUM(I438)</f>
        <v>205564.68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276217.98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25028.85</v>
      </c>
      <c r="G14" s="18">
        <v>4404.8900000000003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3801.61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354758.74</v>
      </c>
      <c r="G19" s="41">
        <f>SUM(G9:G18)</f>
        <v>8206.5</v>
      </c>
      <c r="H19" s="41">
        <f>SUM(H9:H18)</f>
        <v>0</v>
      </c>
      <c r="I19" s="41">
        <f>SUM(I9:I18)</f>
        <v>0</v>
      </c>
      <c r="J19" s="41">
        <f>SUM(J9:J18)</f>
        <v>205564.68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-8670.2000000000007</v>
      </c>
      <c r="G22" s="18">
        <v>8670.2000000000007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20219.82</v>
      </c>
      <c r="G23" s="18" t="s">
        <v>287</v>
      </c>
      <c r="H23" s="18">
        <v>-20219.82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93741.8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105291.42</v>
      </c>
      <c r="G32" s="41">
        <f>SUM(G22:G31)</f>
        <v>8670.2000000000007</v>
      </c>
      <c r="H32" s="41">
        <f>SUM(H22:H31)</f>
        <v>-20219.82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205564.68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-463.7</v>
      </c>
      <c r="H48" s="18">
        <v>20219.82</v>
      </c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249467.32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249467.32</v>
      </c>
      <c r="G50" s="41">
        <f>SUM(G35:G49)</f>
        <v>-463.7</v>
      </c>
      <c r="H50" s="41">
        <f>SUM(H35:H49)</f>
        <v>20219.82</v>
      </c>
      <c r="I50" s="41">
        <f>SUM(I35:I49)</f>
        <v>0</v>
      </c>
      <c r="J50" s="41">
        <f>SUM(J35:J49)</f>
        <v>205564.68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354758.74</v>
      </c>
      <c r="G51" s="41">
        <f>G50+G32</f>
        <v>8206.5</v>
      </c>
      <c r="H51" s="41">
        <f>H50+H32</f>
        <v>0</v>
      </c>
      <c r="I51" s="41">
        <f>I50+I32</f>
        <v>0</v>
      </c>
      <c r="J51" s="41">
        <f>J50+J32</f>
        <v>205564.68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3370250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3370250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11820.33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11820.33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169.4</v>
      </c>
      <c r="G95" s="18"/>
      <c r="H95" s="18"/>
      <c r="I95" s="18"/>
      <c r="J95" s="18">
        <v>3721.8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80302.17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14420.25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34906.99</v>
      </c>
      <c r="G109" s="18"/>
      <c r="H109" s="18"/>
      <c r="I109" s="18"/>
      <c r="J109" s="18">
        <v>1661.49</v>
      </c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35076.39</v>
      </c>
      <c r="G110" s="41">
        <f>SUM(G95:G109)</f>
        <v>80302.17</v>
      </c>
      <c r="H110" s="41">
        <f>SUM(H95:H109)</f>
        <v>14420.25</v>
      </c>
      <c r="I110" s="41">
        <f>SUM(I95:I109)</f>
        <v>0</v>
      </c>
      <c r="J110" s="41">
        <f>SUM(J95:J109)</f>
        <v>5383.29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3417146.72</v>
      </c>
      <c r="G111" s="41">
        <f>G59+G110</f>
        <v>80302.17</v>
      </c>
      <c r="H111" s="41">
        <f>H59+H78+H93+H110</f>
        <v>14420.25</v>
      </c>
      <c r="I111" s="41">
        <f>I59+I110</f>
        <v>0</v>
      </c>
      <c r="J111" s="41">
        <f>J59+J110</f>
        <v>5383.29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842497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499167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1341664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84262.28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1344.61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84262.28</v>
      </c>
      <c r="G135" s="41">
        <f>SUM(G122:G134)</f>
        <v>1344.61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1425926.28</v>
      </c>
      <c r="G139" s="41">
        <f>G120+SUM(G135:G136)</f>
        <v>1344.61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19812.53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80302.13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80302.13</v>
      </c>
      <c r="G161" s="41">
        <f>SUM(G149:G160)</f>
        <v>19812.53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80302.13</v>
      </c>
      <c r="G168" s="41">
        <f>G146+G161+SUM(G162:G167)</f>
        <v>19812.53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4923375.13</v>
      </c>
      <c r="G192" s="47">
        <f>G111+G139+G168+G191</f>
        <v>101459.31</v>
      </c>
      <c r="H192" s="47">
        <f>H111+H139+H168+H191</f>
        <v>14420.25</v>
      </c>
      <c r="I192" s="47">
        <f>I111+I139+I168+I191</f>
        <v>0</v>
      </c>
      <c r="J192" s="47">
        <f>J111+J139+J191</f>
        <v>5383.29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1703322.85</v>
      </c>
      <c r="G196" s="18">
        <v>622065.29</v>
      </c>
      <c r="H196" s="18">
        <v>359</v>
      </c>
      <c r="I196" s="18">
        <v>57303.519999999997</v>
      </c>
      <c r="J196" s="18"/>
      <c r="K196" s="18"/>
      <c r="L196" s="19">
        <f>SUM(F196:K196)</f>
        <v>2383050.66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441514.65</v>
      </c>
      <c r="G197" s="18">
        <v>150362.01</v>
      </c>
      <c r="H197" s="18">
        <v>985.6</v>
      </c>
      <c r="I197" s="18">
        <v>4082.51</v>
      </c>
      <c r="J197" s="18">
        <v>902.09</v>
      </c>
      <c r="K197" s="18"/>
      <c r="L197" s="19">
        <f>SUM(F197:K197)</f>
        <v>597846.86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4375</v>
      </c>
      <c r="G199" s="18"/>
      <c r="H199" s="18"/>
      <c r="I199" s="18"/>
      <c r="J199" s="18"/>
      <c r="K199" s="18"/>
      <c r="L199" s="19">
        <f>SUM(F199:K199)</f>
        <v>4375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334999.96999999997</v>
      </c>
      <c r="G201" s="18">
        <v>82780.960000000006</v>
      </c>
      <c r="H201" s="18">
        <v>425.5</v>
      </c>
      <c r="I201" s="18">
        <v>4653.95</v>
      </c>
      <c r="J201" s="18">
        <v>170.15</v>
      </c>
      <c r="K201" s="18"/>
      <c r="L201" s="19">
        <f t="shared" ref="L201:L207" si="0">SUM(F201:K201)</f>
        <v>423030.53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97576.11</v>
      </c>
      <c r="G202" s="18">
        <v>32446.76</v>
      </c>
      <c r="H202" s="18">
        <v>32553.19</v>
      </c>
      <c r="I202" s="18">
        <v>16632.39</v>
      </c>
      <c r="J202" s="18">
        <v>45264.87</v>
      </c>
      <c r="K202" s="18"/>
      <c r="L202" s="19">
        <f t="shared" si="0"/>
        <v>224473.32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940</v>
      </c>
      <c r="G203" s="18">
        <v>3491.85</v>
      </c>
      <c r="H203" s="18">
        <v>115973.93</v>
      </c>
      <c r="I203" s="18"/>
      <c r="J203" s="18"/>
      <c r="K203" s="18"/>
      <c r="L203" s="19">
        <f t="shared" si="0"/>
        <v>120405.78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170476.08</v>
      </c>
      <c r="G204" s="18">
        <v>25912.25</v>
      </c>
      <c r="H204" s="18">
        <v>13972.54</v>
      </c>
      <c r="I204" s="18">
        <v>1453.71</v>
      </c>
      <c r="J204" s="18"/>
      <c r="K204" s="18"/>
      <c r="L204" s="19">
        <f t="shared" si="0"/>
        <v>211814.58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178129.07</v>
      </c>
      <c r="G206" s="18">
        <v>19178.439999999999</v>
      </c>
      <c r="H206" s="18">
        <v>60772.88</v>
      </c>
      <c r="I206" s="18">
        <v>114139.55</v>
      </c>
      <c r="J206" s="18"/>
      <c r="K206" s="18"/>
      <c r="L206" s="19">
        <f t="shared" si="0"/>
        <v>372219.94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222873.91</v>
      </c>
      <c r="I207" s="18"/>
      <c r="J207" s="18"/>
      <c r="K207" s="18"/>
      <c r="L207" s="19">
        <f t="shared" si="0"/>
        <v>222873.91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2931333.7299999995</v>
      </c>
      <c r="G210" s="41">
        <f t="shared" si="1"/>
        <v>936237.55999999994</v>
      </c>
      <c r="H210" s="41">
        <f t="shared" si="1"/>
        <v>447916.55000000005</v>
      </c>
      <c r="I210" s="41">
        <f t="shared" si="1"/>
        <v>198265.63</v>
      </c>
      <c r="J210" s="41">
        <f t="shared" si="1"/>
        <v>46337.11</v>
      </c>
      <c r="K210" s="41">
        <f t="shared" si="1"/>
        <v>0</v>
      </c>
      <c r="L210" s="41">
        <f t="shared" si="1"/>
        <v>4560090.58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2931333.7299999995</v>
      </c>
      <c r="G256" s="41">
        <f t="shared" si="8"/>
        <v>936237.55999999994</v>
      </c>
      <c r="H256" s="41">
        <f t="shared" si="8"/>
        <v>447916.55000000005</v>
      </c>
      <c r="I256" s="41">
        <f t="shared" si="8"/>
        <v>198265.63</v>
      </c>
      <c r="J256" s="41">
        <f t="shared" si="8"/>
        <v>46337.11</v>
      </c>
      <c r="K256" s="41">
        <f t="shared" si="8"/>
        <v>0</v>
      </c>
      <c r="L256" s="41">
        <f t="shared" si="8"/>
        <v>4560090.58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201723.04</v>
      </c>
      <c r="L259" s="19">
        <f>SUM(F259:K259)</f>
        <v>201723.04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128821.22</v>
      </c>
      <c r="L260" s="19">
        <f>SUM(F260:K260)</f>
        <v>128821.22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330544.26</v>
      </c>
      <c r="L269" s="41">
        <f t="shared" si="9"/>
        <v>330544.26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2931333.7299999995</v>
      </c>
      <c r="G270" s="42">
        <f t="shared" si="11"/>
        <v>936237.55999999994</v>
      </c>
      <c r="H270" s="42">
        <f t="shared" si="11"/>
        <v>447916.55000000005</v>
      </c>
      <c r="I270" s="42">
        <f t="shared" si="11"/>
        <v>198265.63</v>
      </c>
      <c r="J270" s="42">
        <f t="shared" si="11"/>
        <v>46337.11</v>
      </c>
      <c r="K270" s="42">
        <f t="shared" si="11"/>
        <v>330544.26</v>
      </c>
      <c r="L270" s="42">
        <f t="shared" si="11"/>
        <v>4890634.84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11522.58</v>
      </c>
      <c r="G275" s="18"/>
      <c r="H275" s="18"/>
      <c r="I275" s="18"/>
      <c r="J275" s="18"/>
      <c r="K275" s="18"/>
      <c r="L275" s="19">
        <f>SUM(F275:K275)</f>
        <v>11522.58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11522.58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11522.58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11522.58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11522.58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11522.58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11522.58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57215.74</v>
      </c>
      <c r="G357" s="18">
        <v>16249.72</v>
      </c>
      <c r="H357" s="18">
        <v>1995.23</v>
      </c>
      <c r="I357" s="18">
        <v>45567.97</v>
      </c>
      <c r="J357" s="18"/>
      <c r="K357" s="18"/>
      <c r="L357" s="13">
        <f>SUM(F357:K357)</f>
        <v>121028.65999999999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57215.74</v>
      </c>
      <c r="G361" s="47">
        <f t="shared" si="22"/>
        <v>16249.72</v>
      </c>
      <c r="H361" s="47">
        <f t="shared" si="22"/>
        <v>1995.23</v>
      </c>
      <c r="I361" s="47">
        <f t="shared" si="22"/>
        <v>45567.97</v>
      </c>
      <c r="J361" s="47">
        <f t="shared" si="22"/>
        <v>0</v>
      </c>
      <c r="K361" s="47">
        <f t="shared" si="22"/>
        <v>0</v>
      </c>
      <c r="L361" s="47">
        <f t="shared" si="22"/>
        <v>121028.65999999999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42847.69</v>
      </c>
      <c r="G366" s="18"/>
      <c r="H366" s="18"/>
      <c r="I366" s="56">
        <f>SUM(F366:H366)</f>
        <v>42847.69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2720.28</v>
      </c>
      <c r="G367" s="63"/>
      <c r="H367" s="63"/>
      <c r="I367" s="56">
        <f>SUM(F367:H367)</f>
        <v>2720.28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45567.97</v>
      </c>
      <c r="G368" s="47">
        <f>SUM(G366:G367)</f>
        <v>0</v>
      </c>
      <c r="H368" s="47">
        <f>SUM(H366:H367)</f>
        <v>0</v>
      </c>
      <c r="I368" s="47">
        <f>SUM(I366:I367)</f>
        <v>45567.97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3721.8</v>
      </c>
      <c r="I388" s="18">
        <v>1661.49</v>
      </c>
      <c r="J388" s="24" t="s">
        <v>289</v>
      </c>
      <c r="K388" s="24" t="s">
        <v>289</v>
      </c>
      <c r="L388" s="56">
        <f t="shared" si="25"/>
        <v>5383.29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3721.8</v>
      </c>
      <c r="I392" s="65">
        <f>SUM(I386:I391)</f>
        <v>1661.49</v>
      </c>
      <c r="J392" s="45" t="s">
        <v>289</v>
      </c>
      <c r="K392" s="45" t="s">
        <v>289</v>
      </c>
      <c r="L392" s="47">
        <f>SUM(L386:L391)</f>
        <v>5383.29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3721.8</v>
      </c>
      <c r="I407" s="47">
        <f>I392+I400+I406</f>
        <v>1661.49</v>
      </c>
      <c r="J407" s="24" t="s">
        <v>289</v>
      </c>
      <c r="K407" s="24" t="s">
        <v>289</v>
      </c>
      <c r="L407" s="47">
        <f>L392+L400+L406</f>
        <v>5383.29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205564.68</v>
      </c>
      <c r="G438" s="18"/>
      <c r="H438" s="18"/>
      <c r="I438" s="56">
        <f t="shared" ref="I438:I444" si="33">SUM(F438:H438)</f>
        <v>205564.68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205564.68</v>
      </c>
      <c r="G445" s="13">
        <f>SUM(G438:G444)</f>
        <v>0</v>
      </c>
      <c r="H445" s="13">
        <f>SUM(H438:H444)</f>
        <v>0</v>
      </c>
      <c r="I445" s="13">
        <f>SUM(I438:I444)</f>
        <v>205564.68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205564.68</v>
      </c>
      <c r="G458" s="18"/>
      <c r="H458" s="18"/>
      <c r="I458" s="56">
        <f t="shared" si="34"/>
        <v>205564.68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205564.68</v>
      </c>
      <c r="G459" s="83">
        <f>SUM(G453:G458)</f>
        <v>0</v>
      </c>
      <c r="H459" s="83">
        <f>SUM(H453:H458)</f>
        <v>0</v>
      </c>
      <c r="I459" s="83">
        <f>SUM(I453:I458)</f>
        <v>205564.68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205564.68</v>
      </c>
      <c r="G460" s="42">
        <f>G451+G459</f>
        <v>0</v>
      </c>
      <c r="H460" s="42">
        <f>H451+H459</f>
        <v>0</v>
      </c>
      <c r="I460" s="42">
        <f>I451+I459</f>
        <v>205564.68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216727.03</v>
      </c>
      <c r="G464" s="18">
        <v>19105.650000000001</v>
      </c>
      <c r="H464" s="18">
        <v>17322.150000000001</v>
      </c>
      <c r="I464" s="18"/>
      <c r="J464" s="18">
        <v>200181.39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4923375.13</v>
      </c>
      <c r="G467" s="18">
        <v>101459.31</v>
      </c>
      <c r="H467" s="18">
        <v>14420.25</v>
      </c>
      <c r="I467" s="18"/>
      <c r="J467" s="18">
        <v>5383.29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 t="s">
        <v>287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4923375.13</v>
      </c>
      <c r="G469" s="53">
        <f>SUM(G467:G468)</f>
        <v>101459.31</v>
      </c>
      <c r="H469" s="53">
        <f>SUM(H467:H468)</f>
        <v>14420.25</v>
      </c>
      <c r="I469" s="53">
        <f>SUM(I467:I468)</f>
        <v>0</v>
      </c>
      <c r="J469" s="53">
        <f>SUM(J467:J468)</f>
        <v>5383.29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4890634.84</v>
      </c>
      <c r="G471" s="18">
        <v>121028.66</v>
      </c>
      <c r="H471" s="18">
        <v>11522.58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4890634.84</v>
      </c>
      <c r="G473" s="53">
        <f>SUM(G471:G472)</f>
        <v>121028.66</v>
      </c>
      <c r="H473" s="53">
        <f>SUM(H471:H472)</f>
        <v>11522.58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249467.3200000003</v>
      </c>
      <c r="G475" s="53">
        <f>(G464+G469)- G473</f>
        <v>-463.70000000001164</v>
      </c>
      <c r="H475" s="53">
        <f>(H464+H469)- H473</f>
        <v>20219.82</v>
      </c>
      <c r="I475" s="53">
        <f>(I464+I469)- I473</f>
        <v>0</v>
      </c>
      <c r="J475" s="53">
        <f>(J464+J469)- J473</f>
        <v>205564.68000000002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4410000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4.7699999999999996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1653708.45</v>
      </c>
      <c r="G494" s="18"/>
      <c r="H494" s="18"/>
      <c r="I494" s="18"/>
      <c r="J494" s="18"/>
      <c r="K494" s="53">
        <f>SUM(F494:J494)</f>
        <v>1653708.45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F494-F497</f>
        <v>201723.04000000004</v>
      </c>
      <c r="G496" s="18"/>
      <c r="H496" s="18"/>
      <c r="I496" s="18"/>
      <c r="J496" s="18"/>
      <c r="K496" s="53">
        <f t="shared" si="35"/>
        <v>201723.04000000004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1451985.41</v>
      </c>
      <c r="G497" s="204"/>
      <c r="H497" s="204"/>
      <c r="I497" s="204"/>
      <c r="J497" s="204"/>
      <c r="K497" s="205">
        <f t="shared" si="35"/>
        <v>1451985.41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1569494.73</v>
      </c>
      <c r="G498" s="18"/>
      <c r="H498" s="18"/>
      <c r="I498" s="18"/>
      <c r="J498" s="18"/>
      <c r="K498" s="53">
        <f t="shared" si="35"/>
        <v>1569494.73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3021480.1399999997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3021480.1399999997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192732.95</v>
      </c>
      <c r="G500" s="204"/>
      <c r="H500" s="204"/>
      <c r="I500" s="204"/>
      <c r="J500" s="204"/>
      <c r="K500" s="205">
        <f t="shared" si="35"/>
        <v>192732.95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148090.81</v>
      </c>
      <c r="G501" s="18"/>
      <c r="H501" s="18"/>
      <c r="I501" s="18"/>
      <c r="J501" s="18"/>
      <c r="K501" s="53">
        <f t="shared" si="35"/>
        <v>148090.81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340823.76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340823.76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99">
        <v>441514.65</v>
      </c>
      <c r="G520" s="299">
        <v>150362.01</v>
      </c>
      <c r="H520" s="299">
        <v>985.6</v>
      </c>
      <c r="I520" s="299">
        <v>4082.51</v>
      </c>
      <c r="J520" s="299">
        <v>902.09</v>
      </c>
      <c r="K520" s="18"/>
      <c r="L520" s="88">
        <f>SUM(F520:K520)</f>
        <v>597846.86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441514.65</v>
      </c>
      <c r="G523" s="108">
        <f t="shared" ref="G523:L523" si="36">SUM(G520:G522)</f>
        <v>150362.01</v>
      </c>
      <c r="H523" s="108">
        <f t="shared" si="36"/>
        <v>985.6</v>
      </c>
      <c r="I523" s="108">
        <f t="shared" si="36"/>
        <v>4082.51</v>
      </c>
      <c r="J523" s="108">
        <f t="shared" si="36"/>
        <v>902.09</v>
      </c>
      <c r="K523" s="108">
        <f t="shared" si="36"/>
        <v>0</v>
      </c>
      <c r="L523" s="89">
        <f t="shared" si="36"/>
        <v>597846.86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300">
        <v>334999.96999999997</v>
      </c>
      <c r="G525" s="300">
        <v>87099.99</v>
      </c>
      <c r="H525" s="300">
        <v>382</v>
      </c>
      <c r="I525" s="300">
        <v>4653.95</v>
      </c>
      <c r="J525" s="300">
        <v>170.15</v>
      </c>
      <c r="K525" s="18"/>
      <c r="L525" s="88">
        <f>SUM(F525:K525)</f>
        <v>427306.06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334999.96999999997</v>
      </c>
      <c r="G528" s="89">
        <f t="shared" ref="G528:L528" si="37">SUM(G525:G527)</f>
        <v>87099.99</v>
      </c>
      <c r="H528" s="89">
        <f t="shared" si="37"/>
        <v>382</v>
      </c>
      <c r="I528" s="89">
        <f t="shared" si="37"/>
        <v>4653.95</v>
      </c>
      <c r="J528" s="89">
        <f t="shared" si="37"/>
        <v>170.15</v>
      </c>
      <c r="K528" s="89">
        <f t="shared" si="37"/>
        <v>0</v>
      </c>
      <c r="L528" s="89">
        <f t="shared" si="37"/>
        <v>427306.06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301">
        <v>47733.3</v>
      </c>
      <c r="G530" s="301">
        <v>13365.32</v>
      </c>
      <c r="H530" s="301">
        <v>704.22</v>
      </c>
      <c r="I530" s="301">
        <v>407.04</v>
      </c>
      <c r="J530" s="18"/>
      <c r="K530" s="18"/>
      <c r="L530" s="88">
        <f>SUM(F530:K530)</f>
        <v>62209.880000000005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47733.3</v>
      </c>
      <c r="G533" s="89">
        <f t="shared" ref="G533:L533" si="38">SUM(G530:G532)</f>
        <v>13365.32</v>
      </c>
      <c r="H533" s="89">
        <f t="shared" si="38"/>
        <v>704.22</v>
      </c>
      <c r="I533" s="89">
        <f t="shared" si="38"/>
        <v>407.04</v>
      </c>
      <c r="J533" s="89">
        <f t="shared" si="38"/>
        <v>0</v>
      </c>
      <c r="K533" s="89">
        <f t="shared" si="38"/>
        <v>0</v>
      </c>
      <c r="L533" s="89">
        <f t="shared" si="38"/>
        <v>62209.880000000005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302">
        <v>1335.09</v>
      </c>
      <c r="I535" s="18"/>
      <c r="J535" s="18"/>
      <c r="K535" s="18"/>
      <c r="L535" s="88">
        <f>SUM(F535:K535)</f>
        <v>1335.09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1335.09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1335.09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303">
        <v>72987.91</v>
      </c>
      <c r="I540" s="18"/>
      <c r="J540" s="18"/>
      <c r="K540" s="18"/>
      <c r="L540" s="88">
        <f>SUM(F540:K540)</f>
        <v>72987.91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72987.91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72987.91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824247.92</v>
      </c>
      <c r="G544" s="89">
        <f t="shared" ref="G544:L544" si="41">G523+G528+G533+G538+G543</f>
        <v>250827.32</v>
      </c>
      <c r="H544" s="89">
        <f t="shared" si="41"/>
        <v>76394.820000000007</v>
      </c>
      <c r="I544" s="89">
        <f t="shared" si="41"/>
        <v>9143.5</v>
      </c>
      <c r="J544" s="89">
        <f t="shared" si="41"/>
        <v>1072.24</v>
      </c>
      <c r="K544" s="89">
        <f t="shared" si="41"/>
        <v>0</v>
      </c>
      <c r="L544" s="89">
        <f t="shared" si="41"/>
        <v>1161685.7999999998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597846.86</v>
      </c>
      <c r="G548" s="87">
        <f>L525</f>
        <v>427306.06</v>
      </c>
      <c r="H548" s="87">
        <f>L530</f>
        <v>62209.880000000005</v>
      </c>
      <c r="I548" s="87">
        <f>L535</f>
        <v>1335.09</v>
      </c>
      <c r="J548" s="87">
        <f>L540</f>
        <v>72987.91</v>
      </c>
      <c r="K548" s="87">
        <f>SUM(F548:J548)</f>
        <v>1161685.7999999998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597846.86</v>
      </c>
      <c r="G551" s="89">
        <f t="shared" si="42"/>
        <v>427306.06</v>
      </c>
      <c r="H551" s="89">
        <f t="shared" si="42"/>
        <v>62209.880000000005</v>
      </c>
      <c r="I551" s="89">
        <f t="shared" si="42"/>
        <v>1335.09</v>
      </c>
      <c r="J551" s="89">
        <f t="shared" si="42"/>
        <v>72987.91</v>
      </c>
      <c r="K551" s="89">
        <f t="shared" si="42"/>
        <v>1161685.7999999998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149526</v>
      </c>
      <c r="I590" s="18"/>
      <c r="J590" s="18"/>
      <c r="K590" s="104">
        <f t="shared" ref="K590:K596" si="48">SUM(H590:J590)</f>
        <v>149526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72987.91</v>
      </c>
      <c r="I591" s="18"/>
      <c r="J591" s="18"/>
      <c r="K591" s="104">
        <f t="shared" si="48"/>
        <v>72987.91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360</v>
      </c>
      <c r="I594" s="18"/>
      <c r="J594" s="18"/>
      <c r="K594" s="104">
        <f t="shared" si="48"/>
        <v>360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222873.91</v>
      </c>
      <c r="I597" s="108">
        <f>SUM(I590:I596)</f>
        <v>0</v>
      </c>
      <c r="J597" s="108">
        <f>SUM(J590:J596)</f>
        <v>0</v>
      </c>
      <c r="K597" s="108">
        <f>SUM(K590:K596)</f>
        <v>222873.91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46337.11</v>
      </c>
      <c r="I603" s="18"/>
      <c r="J603" s="18"/>
      <c r="K603" s="104">
        <f>SUM(H603:J603)</f>
        <v>46337.11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46337.11</v>
      </c>
      <c r="I604" s="108">
        <f>SUM(I601:I603)</f>
        <v>0</v>
      </c>
      <c r="J604" s="108">
        <f>SUM(J601:J603)</f>
        <v>0</v>
      </c>
      <c r="K604" s="108">
        <f>SUM(K601:K603)</f>
        <v>46337.11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354758.74</v>
      </c>
      <c r="H616" s="109">
        <f>SUM(F51)</f>
        <v>354758.74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8206.5</v>
      </c>
      <c r="H617" s="109">
        <f>SUM(G51)</f>
        <v>8206.5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205564.68</v>
      </c>
      <c r="H620" s="109">
        <f>SUM(J51)</f>
        <v>205564.68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249467.32</v>
      </c>
      <c r="H621" s="109">
        <f>F475</f>
        <v>249467.3200000003</v>
      </c>
      <c r="I621" s="121" t="s">
        <v>101</v>
      </c>
      <c r="J621" s="109">
        <f t="shared" ref="J621:J654" si="50">G621-H621</f>
        <v>-2.9103830456733704E-10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-463.7</v>
      </c>
      <c r="H622" s="109">
        <f>G475</f>
        <v>-463.70000000001164</v>
      </c>
      <c r="I622" s="121" t="s">
        <v>102</v>
      </c>
      <c r="J622" s="109">
        <f t="shared" si="50"/>
        <v>1.1652900866465643E-11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20219.82</v>
      </c>
      <c r="H623" s="109">
        <f>H475</f>
        <v>20219.82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205564.68</v>
      </c>
      <c r="H625" s="109">
        <f>J475</f>
        <v>205564.68000000002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4923375.13</v>
      </c>
      <c r="H626" s="104">
        <f>SUM(F467)</f>
        <v>4923375.13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101459.31</v>
      </c>
      <c r="H627" s="104">
        <f>SUM(G467)</f>
        <v>101459.31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14420.25</v>
      </c>
      <c r="H628" s="104">
        <f>SUM(H467)</f>
        <v>14420.25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5383.29</v>
      </c>
      <c r="H630" s="104">
        <f>SUM(J467)</f>
        <v>5383.29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4890634.84</v>
      </c>
      <c r="H631" s="104">
        <f>SUM(F471)</f>
        <v>4890634.84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11522.58</v>
      </c>
      <c r="H632" s="104">
        <f>SUM(H471)</f>
        <v>11522.58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45567.97</v>
      </c>
      <c r="H633" s="104">
        <f>I368</f>
        <v>45567.97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121028.65999999999</v>
      </c>
      <c r="H634" s="104">
        <f>SUM(G471)</f>
        <v>121028.66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5383.29</v>
      </c>
      <c r="H636" s="164">
        <f>SUM(J467)</f>
        <v>5383.29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205564.68</v>
      </c>
      <c r="H638" s="104">
        <f>SUM(F460)</f>
        <v>205564.68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205564.68</v>
      </c>
      <c r="H641" s="104">
        <f>SUM(I460)</f>
        <v>205564.68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3721.8</v>
      </c>
      <c r="H643" s="104">
        <f>H407</f>
        <v>3721.8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5383.29</v>
      </c>
      <c r="H645" s="104">
        <f>L407</f>
        <v>5383.29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222873.91</v>
      </c>
      <c r="H646" s="104">
        <f>L207+L225+L243</f>
        <v>222873.91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46337.11</v>
      </c>
      <c r="H647" s="104">
        <f>(J256+J337)-(J254+J335)</f>
        <v>46337.11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222873.91</v>
      </c>
      <c r="H648" s="104">
        <f>H597</f>
        <v>222873.91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4692641.82</v>
      </c>
      <c r="G659" s="19">
        <f>(L228+L308+L358)</f>
        <v>0</v>
      </c>
      <c r="H659" s="19">
        <f>(L246+L327+L359)</f>
        <v>0</v>
      </c>
      <c r="I659" s="19">
        <f>SUM(F659:H659)</f>
        <v>4692641.82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80302.17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80302.17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222873.91</v>
      </c>
      <c r="G661" s="19">
        <f>(L225+L305)-(J225+J305)</f>
        <v>0</v>
      </c>
      <c r="H661" s="19">
        <f>(L243+L324)-(J243+J324)</f>
        <v>0</v>
      </c>
      <c r="I661" s="19">
        <f>SUM(F661:H661)</f>
        <v>222873.91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46337.11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46337.11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4343128.63</v>
      </c>
      <c r="G663" s="19">
        <f>G659-SUM(G660:G662)</f>
        <v>0</v>
      </c>
      <c r="H663" s="19">
        <f>H659-SUM(H660:H662)</f>
        <v>0</v>
      </c>
      <c r="I663" s="19">
        <f>I659-SUM(I660:I662)</f>
        <v>4343128.63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334.21</v>
      </c>
      <c r="G664" s="248"/>
      <c r="H664" s="248"/>
      <c r="I664" s="19">
        <f>SUM(F664:H664)</f>
        <v>334.21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12995.21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12995.21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12995.21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12995.21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15" zoomScaleNormal="115"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Brentwood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1714845.4300000002</v>
      </c>
      <c r="C9" s="229">
        <f>'DOE25'!G196+'DOE25'!G214+'DOE25'!G232+'DOE25'!G275+'DOE25'!G294+'DOE25'!G313</f>
        <v>622065.29</v>
      </c>
    </row>
    <row r="10" spans="1:3" x14ac:dyDescent="0.2">
      <c r="A10" t="s">
        <v>779</v>
      </c>
      <c r="B10" s="240">
        <v>1565646.48</v>
      </c>
      <c r="C10" s="240">
        <v>580289.57999999996</v>
      </c>
    </row>
    <row r="11" spans="1:3" x14ac:dyDescent="0.2">
      <c r="A11" t="s">
        <v>780</v>
      </c>
      <c r="B11" s="240">
        <v>103720.49</v>
      </c>
      <c r="C11" s="240">
        <v>29041.74</v>
      </c>
    </row>
    <row r="12" spans="1:3" x14ac:dyDescent="0.2">
      <c r="A12" t="s">
        <v>781</v>
      </c>
      <c r="B12" s="240">
        <v>45478.46</v>
      </c>
      <c r="C12" s="240">
        <v>12733.97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1714845.43</v>
      </c>
      <c r="C13" s="231">
        <f>SUM(C10:C12)</f>
        <v>622065.28999999992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441514.65</v>
      </c>
      <c r="C18" s="229">
        <f>'DOE25'!G197+'DOE25'!G215+'DOE25'!G233+'DOE25'!G276+'DOE25'!G295+'DOE25'!G314</f>
        <v>150362.01</v>
      </c>
    </row>
    <row r="19" spans="1:3" x14ac:dyDescent="0.2">
      <c r="A19" t="s">
        <v>779</v>
      </c>
      <c r="B19" s="240">
        <v>189529</v>
      </c>
      <c r="C19" s="240">
        <v>69744.58</v>
      </c>
    </row>
    <row r="20" spans="1:3" x14ac:dyDescent="0.2">
      <c r="A20" t="s">
        <v>780</v>
      </c>
      <c r="B20" s="240">
        <v>251859.09</v>
      </c>
      <c r="C20" s="240">
        <v>80594.649999999994</v>
      </c>
    </row>
    <row r="21" spans="1:3" x14ac:dyDescent="0.2">
      <c r="A21" t="s">
        <v>781</v>
      </c>
      <c r="B21" s="240">
        <v>126.56</v>
      </c>
      <c r="C21" s="240">
        <v>22.78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441514.64999999997</v>
      </c>
      <c r="C22" s="231">
        <f>SUM(C19:C21)</f>
        <v>150362.00999999998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4375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>
        <v>4375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4375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1" activePane="bottomLeft" state="frozen"/>
      <selection pane="bottomLeft" activeCell="E48" sqref="E4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Brentwood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2985272.52</v>
      </c>
      <c r="D5" s="20">
        <f>SUM('DOE25'!L196:L199)+SUM('DOE25'!L214:L217)+SUM('DOE25'!L232:L235)-F5-G5</f>
        <v>2984370.43</v>
      </c>
      <c r="E5" s="243"/>
      <c r="F5" s="255">
        <f>SUM('DOE25'!J196:J199)+SUM('DOE25'!J214:J217)+SUM('DOE25'!J232:J235)</f>
        <v>902.09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423030.53</v>
      </c>
      <c r="D6" s="20">
        <f>'DOE25'!L201+'DOE25'!L219+'DOE25'!L237-F6-G6</f>
        <v>422860.38</v>
      </c>
      <c r="E6" s="243"/>
      <c r="F6" s="255">
        <f>'DOE25'!J201+'DOE25'!J219+'DOE25'!J237</f>
        <v>170.15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224473.32</v>
      </c>
      <c r="D7" s="20">
        <f>'DOE25'!L202+'DOE25'!L220+'DOE25'!L238-F7-G7</f>
        <v>179208.45</v>
      </c>
      <c r="E7" s="243"/>
      <c r="F7" s="255">
        <f>'DOE25'!J202+'DOE25'!J220+'DOE25'!J238</f>
        <v>45264.87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100380.28</v>
      </c>
      <c r="D8" s="243"/>
      <c r="E8" s="20">
        <f>'DOE25'!L203+'DOE25'!L221+'DOE25'!L239-F8-G8-D9-D11</f>
        <v>100380.28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4489.5</v>
      </c>
      <c r="D9" s="244">
        <v>4489.5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2277.25</v>
      </c>
      <c r="D10" s="243"/>
      <c r="E10" s="244">
        <v>2277.25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15536</v>
      </c>
      <c r="D11" s="244">
        <v>15536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211814.58</v>
      </c>
      <c r="D12" s="20">
        <f>'DOE25'!L204+'DOE25'!L222+'DOE25'!L240-F12-G12</f>
        <v>211814.58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372219.94</v>
      </c>
      <c r="D14" s="20">
        <f>'DOE25'!L206+'DOE25'!L224+'DOE25'!L242-F14-G14</f>
        <v>372219.94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222873.91</v>
      </c>
      <c r="D15" s="20">
        <f>'DOE25'!L207+'DOE25'!L225+'DOE25'!L243-F15-G15</f>
        <v>222873.91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330544.26</v>
      </c>
      <c r="D25" s="243"/>
      <c r="E25" s="243"/>
      <c r="F25" s="258"/>
      <c r="G25" s="256"/>
      <c r="H25" s="257">
        <f>'DOE25'!L259+'DOE25'!L260+'DOE25'!L340+'DOE25'!L341</f>
        <v>330544.26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78180.969999999987</v>
      </c>
      <c r="D29" s="20">
        <f>'DOE25'!L357+'DOE25'!L358+'DOE25'!L359-'DOE25'!I366-F29-G29</f>
        <v>78180.969999999987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11522.58</v>
      </c>
      <c r="D31" s="20">
        <f>'DOE25'!L289+'DOE25'!L308+'DOE25'!L327+'DOE25'!L332+'DOE25'!L333+'DOE25'!L334-F31-G31</f>
        <v>11522.58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4503076.74</v>
      </c>
      <c r="E33" s="246">
        <f>SUM(E5:E31)</f>
        <v>102657.53</v>
      </c>
      <c r="F33" s="246">
        <f>SUM(F5:F31)</f>
        <v>46337.11</v>
      </c>
      <c r="G33" s="246">
        <f>SUM(G5:G31)</f>
        <v>0</v>
      </c>
      <c r="H33" s="246">
        <f>SUM(H5:H31)</f>
        <v>330544.26</v>
      </c>
    </row>
    <row r="35" spans="2:8" ht="12" thickBot="1" x14ac:dyDescent="0.25">
      <c r="B35" s="253" t="s">
        <v>847</v>
      </c>
      <c r="D35" s="254">
        <f>E33</f>
        <v>102657.53</v>
      </c>
      <c r="E35" s="249"/>
    </row>
    <row r="36" spans="2:8" ht="12" thickTop="1" x14ac:dyDescent="0.2">
      <c r="B36" t="s">
        <v>815</v>
      </c>
      <c r="D36" s="20">
        <f>D33</f>
        <v>4503076.74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53511.91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205564.68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276217.98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25028.85</v>
      </c>
      <c r="D13" s="95">
        <f>'DOE25'!G14</f>
        <v>4404.8900000000003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3801.61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354758.74</v>
      </c>
      <c r="D18" s="41">
        <f>SUM(D8:D17)</f>
        <v>8206.5</v>
      </c>
      <c r="E18" s="41">
        <f>SUM(E8:E17)</f>
        <v>0</v>
      </c>
      <c r="F18" s="41">
        <f>SUM(F8:F17)</f>
        <v>0</v>
      </c>
      <c r="G18" s="41">
        <f>SUM(G8:G17)</f>
        <v>205564.68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-8670.2000000000007</v>
      </c>
      <c r="D21" s="95">
        <f>'DOE25'!G22</f>
        <v>8670.2000000000007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20219.82</v>
      </c>
      <c r="D22" s="95" t="str">
        <f>'DOE25'!G23</f>
        <v xml:space="preserve"> </v>
      </c>
      <c r="E22" s="95">
        <f>'DOE25'!H23</f>
        <v>-20219.82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93741.8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105291.42</v>
      </c>
      <c r="D31" s="41">
        <f>SUM(D21:D30)</f>
        <v>8670.2000000000007</v>
      </c>
      <c r="E31" s="41">
        <f>SUM(E21:E30)</f>
        <v>-20219.82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205564.68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-463.7</v>
      </c>
      <c r="E47" s="95">
        <f>'DOE25'!H48</f>
        <v>20219.82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249467.32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249467.32</v>
      </c>
      <c r="D49" s="41">
        <f>SUM(D34:D48)</f>
        <v>-463.7</v>
      </c>
      <c r="E49" s="41">
        <f>SUM(E34:E48)</f>
        <v>20219.82</v>
      </c>
      <c r="F49" s="41">
        <f>SUM(F34:F48)</f>
        <v>0</v>
      </c>
      <c r="G49" s="41">
        <f>SUM(G34:G48)</f>
        <v>205564.68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354758.74</v>
      </c>
      <c r="D50" s="41">
        <f>D49+D31</f>
        <v>8206.5</v>
      </c>
      <c r="E50" s="41">
        <f>E49+E31</f>
        <v>0</v>
      </c>
      <c r="F50" s="41">
        <f>F49+F31</f>
        <v>0</v>
      </c>
      <c r="G50" s="41">
        <f>G49+G31</f>
        <v>205564.68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3370250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11820.33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169.4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3721.8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80302.17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34906.99</v>
      </c>
      <c r="D60" s="95">
        <f>SUM('DOE25'!G97:G109)</f>
        <v>0</v>
      </c>
      <c r="E60" s="95">
        <f>SUM('DOE25'!H97:H109)</f>
        <v>14420.25</v>
      </c>
      <c r="F60" s="95">
        <f>SUM('DOE25'!I97:I109)</f>
        <v>0</v>
      </c>
      <c r="G60" s="95">
        <f>SUM('DOE25'!J97:J109)</f>
        <v>1661.49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46896.72</v>
      </c>
      <c r="D61" s="130">
        <f>SUM(D56:D60)</f>
        <v>80302.17</v>
      </c>
      <c r="E61" s="130">
        <f>SUM(E56:E60)</f>
        <v>14420.25</v>
      </c>
      <c r="F61" s="130">
        <f>SUM(F56:F60)</f>
        <v>0</v>
      </c>
      <c r="G61" s="130">
        <f>SUM(G56:G60)</f>
        <v>5383.29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3417146.72</v>
      </c>
      <c r="D62" s="22">
        <f>D55+D61</f>
        <v>80302.17</v>
      </c>
      <c r="E62" s="22">
        <f>E55+E61</f>
        <v>14420.25</v>
      </c>
      <c r="F62" s="22">
        <f>F55+F61</f>
        <v>0</v>
      </c>
      <c r="G62" s="22">
        <f>G55+G61</f>
        <v>5383.29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842497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499167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1341664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84262.28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1344.61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84262.28</v>
      </c>
      <c r="D77" s="130">
        <f>SUM(D71:D76)</f>
        <v>1344.61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1425926.28</v>
      </c>
      <c r="D80" s="130">
        <f>SUM(D78:D79)+D77+D69</f>
        <v>1344.61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80302.13</v>
      </c>
      <c r="D87" s="95">
        <f>SUM('DOE25'!G152:G160)</f>
        <v>19812.53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80302.13</v>
      </c>
      <c r="D90" s="131">
        <f>SUM(D84:D89)</f>
        <v>19812.53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4923375.13</v>
      </c>
      <c r="D103" s="86">
        <f>D62+D80+D90+D102</f>
        <v>101459.31</v>
      </c>
      <c r="E103" s="86">
        <f>E62+E80+E90+E102</f>
        <v>14420.25</v>
      </c>
      <c r="F103" s="86">
        <f>F62+F80+F90+F102</f>
        <v>0</v>
      </c>
      <c r="G103" s="86">
        <f>G62+G80+G102</f>
        <v>5383.29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2383050.66</v>
      </c>
      <c r="D108" s="24" t="s">
        <v>289</v>
      </c>
      <c r="E108" s="95">
        <f>('DOE25'!L275)+('DOE25'!L294)+('DOE25'!L313)</f>
        <v>11522.58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597846.86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4375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2985272.52</v>
      </c>
      <c r="D114" s="86">
        <f>SUM(D108:D113)</f>
        <v>0</v>
      </c>
      <c r="E114" s="86">
        <f>SUM(E108:E113)</f>
        <v>11522.58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423030.53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224473.32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120405.78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211814.58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372219.94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222873.91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121028.65999999999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1574818.06</v>
      </c>
      <c r="D127" s="86">
        <f>SUM(D117:D126)</f>
        <v>121028.65999999999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201723.04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128821.22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5383.29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-5383.29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330544.26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4890634.84</v>
      </c>
      <c r="D144" s="86">
        <f>(D114+D127+D143)</f>
        <v>121028.65999999999</v>
      </c>
      <c r="E144" s="86">
        <f>(E114+E127+E143)</f>
        <v>11522.58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4410000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4.7699999999999996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1653708.45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1653708.45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201723.04000000004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201723.04000000004</v>
      </c>
    </row>
    <row r="158" spans="1:9" x14ac:dyDescent="0.2">
      <c r="A158" s="22" t="s">
        <v>35</v>
      </c>
      <c r="B158" s="137">
        <f>'DOE25'!F497</f>
        <v>1451985.41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1451985.41</v>
      </c>
    </row>
    <row r="159" spans="1:9" x14ac:dyDescent="0.2">
      <c r="A159" s="22" t="s">
        <v>36</v>
      </c>
      <c r="B159" s="137">
        <f>'DOE25'!F498</f>
        <v>1569494.73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1569494.73</v>
      </c>
    </row>
    <row r="160" spans="1:9" x14ac:dyDescent="0.2">
      <c r="A160" s="22" t="s">
        <v>37</v>
      </c>
      <c r="B160" s="137">
        <f>'DOE25'!F499</f>
        <v>3021480.1399999997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3021480.1399999997</v>
      </c>
    </row>
    <row r="161" spans="1:7" x14ac:dyDescent="0.2">
      <c r="A161" s="22" t="s">
        <v>38</v>
      </c>
      <c r="B161" s="137">
        <f>'DOE25'!F500</f>
        <v>192732.95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192732.95</v>
      </c>
    </row>
    <row r="162" spans="1:7" x14ac:dyDescent="0.2">
      <c r="A162" s="22" t="s">
        <v>39</v>
      </c>
      <c r="B162" s="137">
        <f>'DOE25'!F501</f>
        <v>148090.81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148090.81</v>
      </c>
    </row>
    <row r="163" spans="1:7" x14ac:dyDescent="0.2">
      <c r="A163" s="22" t="s">
        <v>246</v>
      </c>
      <c r="B163" s="137">
        <f>'DOE25'!F502</f>
        <v>340823.76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340823.76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8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Brentwood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12995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12995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2394573</v>
      </c>
      <c r="D10" s="182">
        <f>ROUND((C10/$C$28)*100,1)</f>
        <v>50.5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597847</v>
      </c>
      <c r="D11" s="182">
        <f>ROUND((C11/$C$28)*100,1)</f>
        <v>12.6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4375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423031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224473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120406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211815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372220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222874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128821</v>
      </c>
      <c r="D25" s="182">
        <f t="shared" si="0"/>
        <v>2.7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40726.83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4741161.83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4741161.83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201723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3370250</v>
      </c>
      <c r="D35" s="182">
        <f t="shared" ref="D35:D40" si="1">ROUND((C35/$C$41)*100,1)</f>
        <v>67.900000000000006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66700.260000000242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1341664</v>
      </c>
      <c r="D37" s="182">
        <f t="shared" si="1"/>
        <v>27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85607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100115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4964336.26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Brentwood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BP40:BZ40"/>
    <mergeCell ref="P40:Z40"/>
    <mergeCell ref="AC40:AM40"/>
    <mergeCell ref="IP40:IV40"/>
    <mergeCell ref="C45:M45"/>
    <mergeCell ref="HP40:HZ40"/>
    <mergeCell ref="IC40:IM40"/>
    <mergeCell ref="FC40:FM40"/>
    <mergeCell ref="FP40:FZ40"/>
    <mergeCell ref="DC40:DM40"/>
    <mergeCell ref="EP40:EZ40"/>
    <mergeCell ref="GC39:GM39"/>
    <mergeCell ref="CC40:CM40"/>
    <mergeCell ref="CP40:CZ40"/>
    <mergeCell ref="IP39:IV39"/>
    <mergeCell ref="EP39:EZ39"/>
    <mergeCell ref="FC39:FM39"/>
    <mergeCell ref="FP39:FZ39"/>
    <mergeCell ref="GP39:GZ39"/>
    <mergeCell ref="IC39:IM39"/>
    <mergeCell ref="IC32:IM32"/>
    <mergeCell ref="IP32:IV32"/>
    <mergeCell ref="EP38:EZ38"/>
    <mergeCell ref="FC38:FM38"/>
    <mergeCell ref="FP38:FZ38"/>
    <mergeCell ref="GC38:GM38"/>
    <mergeCell ref="GP38:GZ38"/>
    <mergeCell ref="P39:Z39"/>
    <mergeCell ref="AC39:AM39"/>
    <mergeCell ref="AP39:AZ39"/>
    <mergeCell ref="HP39:HZ39"/>
    <mergeCell ref="IC38:IM38"/>
    <mergeCell ref="IP38:IV38"/>
    <mergeCell ref="CP38:CZ38"/>
    <mergeCell ref="BC38:BM38"/>
    <mergeCell ref="P38:Z38"/>
    <mergeCell ref="AC38:AM38"/>
    <mergeCell ref="BP39:BZ39"/>
    <mergeCell ref="CC39:CM39"/>
    <mergeCell ref="CP39:CZ39"/>
    <mergeCell ref="HC39:HM39"/>
    <mergeCell ref="DC39:DM39"/>
    <mergeCell ref="DP39:DZ39"/>
    <mergeCell ref="EC39:EM39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AP38:AZ38"/>
    <mergeCell ref="HP38:HZ38"/>
    <mergeCell ref="HP32:HZ32"/>
    <mergeCell ref="EC30:EM30"/>
    <mergeCell ref="EP30:EZ30"/>
    <mergeCell ref="DP32:DZ32"/>
    <mergeCell ref="EC32:EM32"/>
    <mergeCell ref="EP32:EZ32"/>
    <mergeCell ref="BP32:BZ32"/>
    <mergeCell ref="DC38:DM38"/>
    <mergeCell ref="HC38:HM38"/>
    <mergeCell ref="HC32:HM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FC32:FM32"/>
    <mergeCell ref="GC30:GM30"/>
    <mergeCell ref="HC31:HM31"/>
    <mergeCell ref="BP38:BZ38"/>
    <mergeCell ref="CC38:CM38"/>
    <mergeCell ref="IP29:IV29"/>
    <mergeCell ref="C42:M42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GP30:GZ30"/>
    <mergeCell ref="FP29:FZ29"/>
    <mergeCell ref="GC29:GM29"/>
    <mergeCell ref="GP29:GZ29"/>
    <mergeCell ref="HP29:HZ29"/>
    <mergeCell ref="IC29:IM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8:M8"/>
    <mergeCell ref="C13:M13"/>
    <mergeCell ref="C9:M9"/>
    <mergeCell ref="C10:M10"/>
    <mergeCell ref="C11:M11"/>
    <mergeCell ref="C12:M12"/>
    <mergeCell ref="CP29:CZ29"/>
    <mergeCell ref="C18:M18"/>
    <mergeCell ref="C19:M19"/>
    <mergeCell ref="C20:M20"/>
    <mergeCell ref="DC29:DM29"/>
    <mergeCell ref="AP29:AZ29"/>
    <mergeCell ref="C14:M14"/>
    <mergeCell ref="C15:M15"/>
    <mergeCell ref="C16:M16"/>
    <mergeCell ref="C17:M17"/>
    <mergeCell ref="C27:M27"/>
    <mergeCell ref="BP29:BZ29"/>
    <mergeCell ref="CC29:CM29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2:M32"/>
    <mergeCell ref="P31:Z31"/>
    <mergeCell ref="AC31:AM31"/>
    <mergeCell ref="AP31:AZ31"/>
    <mergeCell ref="P32:Z32"/>
    <mergeCell ref="AC32:AM32"/>
    <mergeCell ref="AP32:AZ32"/>
    <mergeCell ref="C82:M82"/>
    <mergeCell ref="C52:M52"/>
    <mergeCell ref="C50:M50"/>
    <mergeCell ref="C63:M63"/>
    <mergeCell ref="C64:M64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73:M73"/>
    <mergeCell ref="C74:M74"/>
    <mergeCell ref="C49:M49"/>
    <mergeCell ref="C51:M51"/>
    <mergeCell ref="C81:M81"/>
    <mergeCell ref="C75:M75"/>
    <mergeCell ref="C67:M67"/>
    <mergeCell ref="C68:M68"/>
    <mergeCell ref="C69:M69"/>
    <mergeCell ref="C89:M89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83:M83"/>
    <mergeCell ref="C84:M84"/>
    <mergeCell ref="C85:M85"/>
    <mergeCell ref="C86:M86"/>
    <mergeCell ref="C87:M87"/>
    <mergeCell ref="C88:M88"/>
    <mergeCell ref="C57:M57"/>
    <mergeCell ref="C59:M59"/>
    <mergeCell ref="C77:M77"/>
    <mergeCell ref="C78:M78"/>
    <mergeCell ref="C79:M79"/>
    <mergeCell ref="C80:M80"/>
    <mergeCell ref="C70:M70"/>
    <mergeCell ref="A72:E7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2013-08-28T19:13:44Z</cp:lastPrinted>
  <dcterms:created xsi:type="dcterms:W3CDTF">1997-12-04T19:04:30Z</dcterms:created>
  <dcterms:modified xsi:type="dcterms:W3CDTF">2013-09-03T12:16:25Z</dcterms:modified>
</cp:coreProperties>
</file>