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70" windowWidth="12735" windowHeight="62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0" i="12" l="1"/>
  <c r="B21" i="12"/>
  <c r="B19" i="12"/>
  <c r="B11" i="12"/>
  <c r="B12" i="12"/>
  <c r="B10" i="12"/>
  <c r="I201" i="1"/>
  <c r="F14" i="1"/>
  <c r="J464" i="1" l="1"/>
  <c r="G458" i="1"/>
  <c r="D9" i="13" l="1"/>
  <c r="G501" i="1"/>
  <c r="G498" i="1"/>
  <c r="G497" i="1"/>
  <c r="F501" i="1"/>
  <c r="F500" i="1"/>
  <c r="F496" i="1"/>
  <c r="J421" i="1"/>
  <c r="H378" i="1"/>
  <c r="H591" i="1"/>
  <c r="H590" i="1"/>
  <c r="F366" i="1"/>
  <c r="H196" i="1"/>
  <c r="G275" i="1"/>
  <c r="F367" i="1" l="1"/>
  <c r="I357" i="1"/>
  <c r="H357" i="1"/>
  <c r="G47" i="1"/>
  <c r="G206" i="1" l="1"/>
  <c r="G204" i="1"/>
  <c r="G202" i="1"/>
  <c r="G201" i="1"/>
  <c r="G197" i="1"/>
  <c r="G196" i="1"/>
  <c r="H206" i="1"/>
  <c r="H204" i="1"/>
  <c r="H203" i="1"/>
  <c r="H202" i="1"/>
  <c r="H201" i="1"/>
  <c r="H197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E8" i="13" s="1"/>
  <c r="C8" i="13" s="1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19" i="1"/>
  <c r="L237" i="1"/>
  <c r="F7" i="13"/>
  <c r="G7" i="13"/>
  <c r="L220" i="1"/>
  <c r="L238" i="1"/>
  <c r="F12" i="13"/>
  <c r="G12" i="13"/>
  <c r="L222" i="1"/>
  <c r="L240" i="1"/>
  <c r="F14" i="13"/>
  <c r="G14" i="13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E109" i="2" s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E111" i="2" s="1"/>
  <c r="L318" i="1"/>
  <c r="L319" i="1"/>
  <c r="L320" i="1"/>
  <c r="E119" i="2" s="1"/>
  <c r="L321" i="1"/>
  <c r="L322" i="1"/>
  <c r="C19" i="10" s="1"/>
  <c r="L323" i="1"/>
  <c r="L324" i="1"/>
  <c r="E123" i="2" s="1"/>
  <c r="L325" i="1"/>
  <c r="L332" i="1"/>
  <c r="L333" i="1"/>
  <c r="L334" i="1"/>
  <c r="L259" i="1"/>
  <c r="C32" i="10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B27" i="12"/>
  <c r="C27" i="12"/>
  <c r="B31" i="12"/>
  <c r="C31" i="12"/>
  <c r="B9" i="12"/>
  <c r="B13" i="12" s="1"/>
  <c r="C9" i="12"/>
  <c r="B18" i="12"/>
  <c r="B22" i="12"/>
  <c r="C21" i="12" s="1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F111" i="1" s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7" i="10"/>
  <c r="L249" i="1"/>
  <c r="L331" i="1"/>
  <c r="C23" i="10" s="1"/>
  <c r="L253" i="1"/>
  <c r="C25" i="10"/>
  <c r="L267" i="1"/>
  <c r="L268" i="1"/>
  <c r="L348" i="1"/>
  <c r="L349" i="1"/>
  <c r="I664" i="1"/>
  <c r="I669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1" i="1"/>
  <c r="F549" i="1" s="1"/>
  <c r="L522" i="1"/>
  <c r="F550" i="1" s="1"/>
  <c r="L526" i="1"/>
  <c r="G549" i="1" s="1"/>
  <c r="L527" i="1"/>
  <c r="G550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C108" i="2"/>
  <c r="C110" i="2"/>
  <c r="E110" i="2"/>
  <c r="C112" i="2"/>
  <c r="E112" i="2"/>
  <c r="C113" i="2"/>
  <c r="E113" i="2"/>
  <c r="D114" i="2"/>
  <c r="F114" i="2"/>
  <c r="G114" i="2"/>
  <c r="E117" i="2"/>
  <c r="E118" i="2"/>
  <c r="C119" i="2"/>
  <c r="E120" i="2"/>
  <c r="C121" i="2"/>
  <c r="E122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G50" i="1"/>
  <c r="G622" i="1" s="1"/>
  <c r="H50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H337" i="1" s="1"/>
  <c r="H351" i="1" s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J642" i="1" s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G459" i="1"/>
  <c r="G460" i="1" s="1"/>
  <c r="H639" i="1" s="1"/>
  <c r="H459" i="1"/>
  <c r="I459" i="1"/>
  <c r="F460" i="1"/>
  <c r="H460" i="1"/>
  <c r="I469" i="1"/>
  <c r="J469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H523" i="1"/>
  <c r="I523" i="1"/>
  <c r="J523" i="1"/>
  <c r="K523" i="1"/>
  <c r="K544" i="1" s="1"/>
  <c r="F528" i="1"/>
  <c r="H528" i="1"/>
  <c r="I528" i="1"/>
  <c r="J528" i="1"/>
  <c r="K528" i="1"/>
  <c r="F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5" i="1"/>
  <c r="K596" i="1"/>
  <c r="H597" i="1"/>
  <c r="H648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3" i="1"/>
  <c r="G624" i="1"/>
  <c r="H629" i="1"/>
  <c r="H630" i="1"/>
  <c r="H635" i="1"/>
  <c r="H636" i="1"/>
  <c r="H637" i="1"/>
  <c r="G638" i="1"/>
  <c r="H638" i="1"/>
  <c r="G639" i="1"/>
  <c r="G640" i="1"/>
  <c r="H640" i="1"/>
  <c r="G642" i="1"/>
  <c r="G643" i="1"/>
  <c r="H643" i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F31" i="2"/>
  <c r="C26" i="10"/>
  <c r="L350" i="1"/>
  <c r="D61" i="2"/>
  <c r="D62" i="2" s="1"/>
  <c r="E49" i="2"/>
  <c r="D18" i="13"/>
  <c r="C18" i="13" s="1"/>
  <c r="F102" i="2"/>
  <c r="D18" i="2"/>
  <c r="D17" i="13"/>
  <c r="C17" i="13" s="1"/>
  <c r="G158" i="2"/>
  <c r="C90" i="2"/>
  <c r="G80" i="2"/>
  <c r="F77" i="2"/>
  <c r="F80" i="2" s="1"/>
  <c r="F61" i="2"/>
  <c r="F62" i="2" s="1"/>
  <c r="D31" i="2"/>
  <c r="G156" i="2"/>
  <c r="F49" i="2"/>
  <c r="F50" i="2" s="1"/>
  <c r="F18" i="2"/>
  <c r="G162" i="2"/>
  <c r="G157" i="2"/>
  <c r="G155" i="2"/>
  <c r="E143" i="2"/>
  <c r="G102" i="2"/>
  <c r="E102" i="2"/>
  <c r="D90" i="2"/>
  <c r="F90" i="2"/>
  <c r="E61" i="2"/>
  <c r="E62" i="2" s="1"/>
  <c r="E31" i="2"/>
  <c r="E50" i="2" s="1"/>
  <c r="C31" i="2"/>
  <c r="D19" i="13"/>
  <c r="C19" i="13" s="1"/>
  <c r="E77" i="2"/>
  <c r="E80" i="2" s="1"/>
  <c r="L426" i="1"/>
  <c r="H111" i="1"/>
  <c r="J640" i="1"/>
  <c r="J638" i="1"/>
  <c r="K604" i="1"/>
  <c r="G647" i="1" s="1"/>
  <c r="J570" i="1"/>
  <c r="K570" i="1"/>
  <c r="L432" i="1"/>
  <c r="L418" i="1"/>
  <c r="D80" i="2"/>
  <c r="I168" i="1"/>
  <c r="H168" i="1"/>
  <c r="J643" i="1"/>
  <c r="J475" i="1"/>
  <c r="H625" i="1" s="1"/>
  <c r="I475" i="1"/>
  <c r="H624" i="1" s="1"/>
  <c r="J624" i="1" s="1"/>
  <c r="F168" i="1"/>
  <c r="J139" i="1"/>
  <c r="F570" i="1"/>
  <c r="I551" i="1"/>
  <c r="K549" i="1"/>
  <c r="G22" i="2"/>
  <c r="C29" i="10"/>
  <c r="H139" i="1"/>
  <c r="L400" i="1"/>
  <c r="C138" i="2" s="1"/>
  <c r="L392" i="1"/>
  <c r="C137" i="2" s="1"/>
  <c r="F22" i="13"/>
  <c r="C22" i="13" s="1"/>
  <c r="H25" i="13"/>
  <c r="C25" i="13" s="1"/>
  <c r="H570" i="1"/>
  <c r="L559" i="1"/>
  <c r="J544" i="1"/>
  <c r="G191" i="1"/>
  <c r="H191" i="1"/>
  <c r="C35" i="10"/>
  <c r="L308" i="1"/>
  <c r="E16" i="13"/>
  <c r="L569" i="1"/>
  <c r="I570" i="1"/>
  <c r="J635" i="1"/>
  <c r="G36" i="2"/>
  <c r="L564" i="1"/>
  <c r="K550" i="1"/>
  <c r="H33" i="13"/>
  <c r="I460" i="1" l="1"/>
  <c r="H641" i="1" s="1"/>
  <c r="G161" i="2"/>
  <c r="I445" i="1"/>
  <c r="G641" i="1" s="1"/>
  <c r="G644" i="1"/>
  <c r="J644" i="1" s="1"/>
  <c r="I51" i="1"/>
  <c r="H619" i="1" s="1"/>
  <c r="G337" i="1"/>
  <c r="G351" i="1" s="1"/>
  <c r="E108" i="2"/>
  <c r="I368" i="1"/>
  <c r="H633" i="1" s="1"/>
  <c r="J633" i="1" s="1"/>
  <c r="L206" i="1"/>
  <c r="L202" i="1"/>
  <c r="D7" i="13" s="1"/>
  <c r="C7" i="13" s="1"/>
  <c r="L204" i="1"/>
  <c r="C11" i="12"/>
  <c r="C12" i="12"/>
  <c r="C10" i="12"/>
  <c r="C20" i="12"/>
  <c r="C19" i="12"/>
  <c r="A31" i="12"/>
  <c r="I544" i="1"/>
  <c r="H544" i="1"/>
  <c r="G160" i="2"/>
  <c r="D29" i="13"/>
  <c r="C29" i="13" s="1"/>
  <c r="G660" i="1"/>
  <c r="L289" i="1"/>
  <c r="H661" i="1"/>
  <c r="J337" i="1"/>
  <c r="J351" i="1" s="1"/>
  <c r="E121" i="2"/>
  <c r="E127" i="2" s="1"/>
  <c r="C13" i="10"/>
  <c r="C21" i="10"/>
  <c r="E13" i="13"/>
  <c r="C13" i="13" s="1"/>
  <c r="C111" i="2"/>
  <c r="C18" i="10"/>
  <c r="H51" i="1"/>
  <c r="H618" i="1" s="1"/>
  <c r="J618" i="1" s="1"/>
  <c r="E18" i="2"/>
  <c r="G163" i="2"/>
  <c r="C80" i="2"/>
  <c r="G51" i="1"/>
  <c r="H617" i="1" s="1"/>
  <c r="J617" i="1" s="1"/>
  <c r="C18" i="2"/>
  <c r="J551" i="1"/>
  <c r="L543" i="1"/>
  <c r="J650" i="1"/>
  <c r="K502" i="1"/>
  <c r="G159" i="2"/>
  <c r="K499" i="1"/>
  <c r="J639" i="1"/>
  <c r="G616" i="1"/>
  <c r="F337" i="1"/>
  <c r="F351" i="1" s="1"/>
  <c r="E114" i="2"/>
  <c r="L327" i="1"/>
  <c r="C10" i="10"/>
  <c r="F660" i="1"/>
  <c r="H660" i="1"/>
  <c r="L361" i="1"/>
  <c r="G471" i="1" s="1"/>
  <c r="D144" i="2"/>
  <c r="D14" i="13"/>
  <c r="C14" i="13" s="1"/>
  <c r="C123" i="2"/>
  <c r="C20" i="10"/>
  <c r="L246" i="1"/>
  <c r="D5" i="13"/>
  <c r="C5" i="13" s="1"/>
  <c r="H646" i="1"/>
  <c r="F661" i="1"/>
  <c r="C16" i="13"/>
  <c r="C122" i="2"/>
  <c r="L228" i="1"/>
  <c r="G659" i="1" s="1"/>
  <c r="J256" i="1"/>
  <c r="J270" i="1" s="1"/>
  <c r="H256" i="1"/>
  <c r="H270" i="1" s="1"/>
  <c r="K256" i="1"/>
  <c r="K270" i="1" s="1"/>
  <c r="I256" i="1"/>
  <c r="I270" i="1" s="1"/>
  <c r="C11" i="10"/>
  <c r="D15" i="13"/>
  <c r="C15" i="13" s="1"/>
  <c r="G648" i="1"/>
  <c r="J648" i="1" s="1"/>
  <c r="C109" i="2"/>
  <c r="C114" i="2" s="1"/>
  <c r="C61" i="2"/>
  <c r="C62" i="2" s="1"/>
  <c r="C24" i="10"/>
  <c r="G31" i="13"/>
  <c r="G33" i="13" s="1"/>
  <c r="I337" i="1"/>
  <c r="I351" i="1" s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168" i="1"/>
  <c r="C39" i="10" s="1"/>
  <c r="G139" i="1"/>
  <c r="F139" i="1"/>
  <c r="F192" i="1" s="1"/>
  <c r="F467" i="1" s="1"/>
  <c r="C36" i="10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G49" i="2"/>
  <c r="G50" i="2" s="1"/>
  <c r="J651" i="1"/>
  <c r="G570" i="1"/>
  <c r="I433" i="1"/>
  <c r="G433" i="1"/>
  <c r="I662" i="1"/>
  <c r="J641" i="1" l="1"/>
  <c r="G663" i="1"/>
  <c r="G666" i="1" s="1"/>
  <c r="C118" i="2"/>
  <c r="C16" i="10"/>
  <c r="E33" i="13"/>
  <c r="D35" i="13" s="1"/>
  <c r="C120" i="2"/>
  <c r="D12" i="13"/>
  <c r="C12" i="13" s="1"/>
  <c r="G210" i="1"/>
  <c r="L201" i="1"/>
  <c r="G628" i="1"/>
  <c r="H467" i="1"/>
  <c r="L337" i="1"/>
  <c r="L351" i="1" s="1"/>
  <c r="H471" i="1" s="1"/>
  <c r="E144" i="2"/>
  <c r="I661" i="1"/>
  <c r="H645" i="1"/>
  <c r="C27" i="10"/>
  <c r="C40" i="12"/>
  <c r="A40" i="12" s="1"/>
  <c r="C13" i="12"/>
  <c r="A13" i="12" s="1"/>
  <c r="C103" i="2"/>
  <c r="G626" i="1"/>
  <c r="C22" i="12"/>
  <c r="A22" i="12" s="1"/>
  <c r="C48" i="2"/>
  <c r="H659" i="1"/>
  <c r="H663" i="1" s="1"/>
  <c r="H671" i="1" s="1"/>
  <c r="C6" i="10" s="1"/>
  <c r="D31" i="13"/>
  <c r="C31" i="13" s="1"/>
  <c r="I660" i="1"/>
  <c r="G634" i="1"/>
  <c r="H647" i="1"/>
  <c r="J647" i="1" s="1"/>
  <c r="G671" i="1"/>
  <c r="C5" i="10" s="1"/>
  <c r="G630" i="1"/>
  <c r="J630" i="1" s="1"/>
  <c r="J645" i="1"/>
  <c r="G192" i="1"/>
  <c r="G467" i="1" s="1"/>
  <c r="G625" i="1"/>
  <c r="J625" i="1" s="1"/>
  <c r="J51" i="1"/>
  <c r="H620" i="1" s="1"/>
  <c r="J620" i="1" s="1"/>
  <c r="C38" i="10"/>
  <c r="G256" i="1" l="1"/>
  <c r="G270" i="1" s="1"/>
  <c r="C117" i="2"/>
  <c r="C127" i="2" s="1"/>
  <c r="C144" i="2" s="1"/>
  <c r="C15" i="10"/>
  <c r="C28" i="10" s="1"/>
  <c r="L210" i="1"/>
  <c r="D6" i="13"/>
  <c r="C6" i="13" s="1"/>
  <c r="H634" i="1"/>
  <c r="G473" i="1"/>
  <c r="J634" i="1"/>
  <c r="G632" i="1"/>
  <c r="H473" i="1"/>
  <c r="H632" i="1"/>
  <c r="G627" i="1"/>
  <c r="F469" i="1"/>
  <c r="H626" i="1"/>
  <c r="J626" i="1" s="1"/>
  <c r="H666" i="1"/>
  <c r="C41" i="10"/>
  <c r="D38" i="10" s="1"/>
  <c r="D24" i="10" l="1"/>
  <c r="D25" i="10"/>
  <c r="D23" i="10"/>
  <c r="D26" i="10"/>
  <c r="D13" i="10"/>
  <c r="D21" i="10"/>
  <c r="D27" i="10"/>
  <c r="D18" i="10"/>
  <c r="D17" i="10"/>
  <c r="D12" i="10"/>
  <c r="D10" i="10"/>
  <c r="C30" i="10"/>
  <c r="D16" i="10"/>
  <c r="D11" i="10"/>
  <c r="D22" i="10"/>
  <c r="D20" i="10"/>
  <c r="D15" i="10"/>
  <c r="D19" i="10"/>
  <c r="D33" i="13"/>
  <c r="D36" i="13" s="1"/>
  <c r="F659" i="1"/>
  <c r="L256" i="1"/>
  <c r="L270" i="1" s="1"/>
  <c r="F471" i="1" s="1"/>
  <c r="G533" i="1"/>
  <c r="L530" i="1"/>
  <c r="L525" i="1"/>
  <c r="G528" i="1"/>
  <c r="L520" i="1"/>
  <c r="G523" i="1"/>
  <c r="J632" i="1"/>
  <c r="H628" i="1"/>
  <c r="J628" i="1" s="1"/>
  <c r="H469" i="1"/>
  <c r="H475" i="1" s="1"/>
  <c r="H623" i="1" s="1"/>
  <c r="J623" i="1" s="1"/>
  <c r="G469" i="1"/>
  <c r="G475" i="1" s="1"/>
  <c r="H622" i="1" s="1"/>
  <c r="J622" i="1" s="1"/>
  <c r="H627" i="1"/>
  <c r="J627" i="1" s="1"/>
  <c r="D37" i="10"/>
  <c r="D36" i="10"/>
  <c r="D35" i="10"/>
  <c r="D40" i="10"/>
  <c r="D39" i="10"/>
  <c r="D28" i="10" l="1"/>
  <c r="G544" i="1"/>
  <c r="H548" i="1"/>
  <c r="H551" i="1" s="1"/>
  <c r="L533" i="1"/>
  <c r="G631" i="1"/>
  <c r="F548" i="1"/>
  <c r="L523" i="1"/>
  <c r="G548" i="1"/>
  <c r="G551" i="1" s="1"/>
  <c r="L528" i="1"/>
  <c r="F663" i="1"/>
  <c r="I659" i="1"/>
  <c r="I663" i="1" s="1"/>
  <c r="D41" i="10"/>
  <c r="F671" i="1" l="1"/>
  <c r="C4" i="10" s="1"/>
  <c r="F666" i="1"/>
  <c r="K548" i="1"/>
  <c r="K551" i="1" s="1"/>
  <c r="F551" i="1"/>
  <c r="H631" i="1"/>
  <c r="J631" i="1" s="1"/>
  <c r="F473" i="1"/>
  <c r="F475" i="1" s="1"/>
  <c r="H621" i="1" s="1"/>
  <c r="I671" i="1"/>
  <c r="C7" i="10" s="1"/>
  <c r="I666" i="1"/>
  <c r="L544" i="1"/>
  <c r="C35" i="2"/>
  <c r="C49" i="2" s="1"/>
  <c r="C50" i="2" s="1"/>
  <c r="F50" i="1"/>
  <c r="G621" i="1" s="1"/>
  <c r="J621" i="1" l="1"/>
  <c r="F51" i="1"/>
  <c r="H616" i="1" s="1"/>
  <c r="J616" i="1" s="1"/>
  <c r="K594" i="1" l="1"/>
  <c r="K597" i="1" s="1"/>
  <c r="G646" i="1" s="1"/>
  <c r="I597" i="1"/>
  <c r="H649" i="1"/>
  <c r="J649" i="1" s="1"/>
  <c r="H655" i="1" l="1"/>
  <c r="J64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<sst xmlns="http://schemas.openxmlformats.org/spreadsheetml/2006/main" count="3948" uniqueCount="914">
  <si>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</si>
  <si>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</si>
  <si>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</si>
  <si>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</si>
  <si>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</si>
  <si>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</si>
  <si>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</si>
  <si>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</si>
  <si>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</si>
  <si>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</si>
  <si>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</si>
  <si>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</si>
  <si>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</si>
  <si>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</si>
  <si>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</si>
  <si>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</si>
  <si>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</si>
  <si>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</si>
  <si>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</si>
  <si>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</si>
  <si>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</si>
  <si>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</si>
  <si>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</si>
  <si>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</si>
  <si>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</si>
  <si>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</si>
  <si>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</si>
  <si>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</si>
  <si>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</si>
  <si>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</si>
  <si>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</si>
  <si>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</si>
  <si>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</si>
  <si>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</si>
  <si>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</si>
  <si>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</si>
  <si>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</si>
  <si>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</si>
  <si>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</si>
  <si>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</si>
  <si>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</si>
  <si>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</si>
  <si>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</si>
  <si>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</si>
  <si>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</si>
  <si>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</si>
  <si>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</si>
  <si>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</si>
  <si>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</si>
  <si>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</si>
  <si>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</si>
  <si>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</si>
  <si>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</si>
  <si>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</si>
  <si>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</si>
  <si>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</si>
  <si>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</si>
  <si>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</si>
  <si>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</si>
  <si>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</si>
  <si>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</si>
  <si>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</si>
  <si>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</si>
  <si>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</si>
  <si>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</si>
  <si>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</si>
  <si>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</si>
  <si>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</si>
  <si>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</si>
  <si>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</si>
  <si>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</si>
  <si>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</si>
  <si>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</si>
  <si>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</si>
  <si>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</si>
  <si>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</si>
  <si>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</si>
  <si>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</si>
  <si>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</si>
  <si>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</si>
  <si>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</si>
  <si>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</si>
  <si>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</si>
  <si>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</si>
  <si>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</si>
  <si>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</si>
  <si>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</si>
  <si>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</si>
  <si>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</si>
  <si>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</si>
  <si>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</si>
  <si>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</si>
  <si>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</si>
  <si>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</si>
  <si>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</si>
  <si>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</si>
  <si>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</si>
  <si>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</si>
  <si>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</si>
  <si>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</si>
  <si>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</si>
  <si>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</si>
  <si>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</si>
  <si>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</si>
  <si>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</si>
  <si>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</si>
  <si>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</si>
  <si>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</si>
  <si>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</si>
  <si>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</si>
  <si>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</si>
  <si>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</si>
  <si>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</si>
  <si>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</si>
  <si>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</si>
  <si>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</si>
  <si>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</si>
  <si>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</si>
  <si>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</si>
  <si>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</si>
  <si>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</si>
  <si>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</si>
  <si>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</si>
  <si>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</si>
  <si>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</si>
  <si>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</si>
  <si>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</si>
  <si>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</si>
  <si>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</si>
  <si>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</si>
  <si>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</si>
  <si>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</si>
  <si>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</si>
  <si>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</si>
  <si>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</si>
  <si>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</si>
  <si>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</si>
  <si>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</si>
  <si>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</si>
  <si>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</si>
  <si>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</si>
  <si>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</si>
  <si>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</si>
  <si>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</si>
  <si>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</si>
  <si>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</si>
  <si>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</si>
  <si>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</si>
  <si>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</si>
  <si>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</si>
  <si>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</si>
  <si>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</si>
  <si>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</si>
  <si>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</si>
  <si>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</si>
  <si>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</si>
  <si>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</si>
  <si>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</si>
  <si>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</si>
  <si>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</si>
  <si>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</si>
  <si>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</si>
  <si>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</si>
  <si>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</si>
  <si>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</si>
  <si>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</si>
  <si>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</si>
  <si>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</si>
  <si>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</si>
  <si>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</si>
  <si>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</si>
  <si>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</si>
  <si>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</si>
  <si>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</si>
  <si>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</si>
  <si>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</si>
  <si>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</si>
  <si>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</si>
  <si>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</si>
  <si>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</si>
  <si>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</si>
  <si>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</si>
  <si>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</si>
  <si>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</si>
  <si>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</si>
  <si>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</si>
  <si>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</si>
  <si>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</si>
  <si>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</si>
  <si>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</si>
  <si>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</si>
  <si>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</si>
  <si>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</si>
  <si>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</si>
  <si>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</si>
  <si>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</si>
  <si>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</si>
  <si>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</si>
  <si>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</si>
  <si>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</si>
  <si>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</si>
  <si>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</si>
  <si>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</si>
  <si>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</si>
  <si>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</si>
  <si>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</si>
  <si>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</si>
  <si>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</si>
  <si>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</si>
  <si>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</si>
  <si>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</si>
  <si>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</si>
  <si>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</si>
  <si>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</si>
  <si>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</si>
  <si>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</si>
  <si>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</si>
  <si>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</si>
  <si>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</si>
  <si>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</si>
  <si>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</si>
  <si>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</si>
  <si>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</si>
  <si>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</si>
  <si>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</si>
  <si>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</si>
  <si>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</si>
  <si>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</si>
  <si>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</si>
  <si>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</si>
  <si>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</si>
  <si>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</si>
  <si>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</si>
  <si>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</si>
  <si>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</si>
  <si>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</si>
  <si>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</si>
  <si>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</si>
  <si>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</si>
  <si>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</si>
  <si>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</si>
  <si>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</si>
  <si>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</si>
  <si>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</si>
  <si>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</si>
  <si>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</si>
  <si>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</si>
  <si>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</si>
  <si>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</si>
  <si>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</si>
  <si>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</si>
  <si>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</si>
  <si>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</si>
  <si>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</si>
  <si>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</si>
  <si>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</si>
  <si>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</si>
  <si>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</si>
  <si>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</si>
  <si>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</si>
  <si>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</si>
  <si>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</si>
  <si>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</si>
  <si>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</si>
  <si>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</si>
  <si>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</si>
  <si>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</si>
  <si>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</si>
  <si>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</si>
  <si>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</si>
  <si>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</si>
  <si>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</si>
  <si>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</si>
  <si>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</si>
  <si>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</si>
  <si>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</si>
  <si>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</si>
  <si>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</si>
  <si>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</si>
  <si>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</si>
  <si>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</si>
  <si>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</si>
  <si>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</si>
  <si>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</si>
  <si>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</si>
  <si>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</si>
  <si>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</si>
  <si>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</si>
  <si>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</si>
  <si>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</si>
  <si>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</si>
  <si>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</si>
  <si>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</si>
  <si>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</si>
  <si>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</si>
  <si>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</si>
  <si>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</si>
  <si>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</si>
  <si>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</si>
  <si>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</si>
  <si>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</si>
  <si>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</si>
  <si>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</si>
  <si>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</si>
  <si>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</si>
  <si>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</si>
  <si>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</si>
  <si>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</si>
  <si>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</si>
  <si>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</si>
  <si>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</si>
  <si>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</si>
  <si>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</si>
  <si>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</si>
  <si>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</si>
  <si>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</si>
  <si>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</si>
  <si>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</si>
  <si>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</si>
  <si>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</si>
  <si>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</si>
  <si>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</si>
  <si>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</si>
  <si>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</si>
  <si>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</si>
  <si>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</si>
  <si>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</si>
  <si>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</si>
  <si>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</si>
  <si>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</si>
  <si>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</si>
  <si>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</si>
  <si>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</si>
  <si>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</si>
  <si>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</si>
  <si>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</si>
  <si>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</si>
  <si>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</si>
  <si>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</si>
  <si>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</si>
  <si>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</si>
  <si>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</si>
  <si>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</si>
  <si>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</si>
  <si>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</si>
  <si>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</si>
  <si>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</si>
  <si>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</si>
  <si>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</si>
  <si>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</si>
  <si>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</si>
  <si>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</si>
  <si>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</si>
  <si>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</si>
  <si>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</si>
  <si>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</si>
  <si>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</si>
  <si>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</si>
  <si>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</si>
  <si>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</si>
  <si>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</si>
  <si>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</si>
  <si>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</si>
  <si>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</si>
  <si>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</si>
  <si>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</si>
  <si>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</si>
  <si>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</si>
  <si>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</si>
  <si>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</si>
  <si>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</si>
  <si>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</si>
  <si>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</si>
  <si>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</si>
  <si>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</si>
  <si>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</si>
  <si>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</si>
  <si>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</si>
  <si>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</si>
  <si>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</si>
  <si>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</si>
  <si>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</si>
  <si>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</si>
  <si>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</si>
  <si>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</si>
  <si>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</si>
  <si>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</si>
  <si>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</si>
  <si>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</si>
  <si>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</si>
  <si>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</si>
  <si>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</si>
  <si>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</si>
  <si>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</si>
  <si>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</si>
  <si>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</si>
  <si>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</si>
  <si>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</si>
  <si>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</si>
  <si>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</si>
  <si>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</si>
  <si>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</si>
  <si>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</si>
  <si>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</si>
  <si>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</si>
  <si>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</si>
  <si>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</si>
  <si>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</si>
  <si>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</si>
  <si>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</si>
  <si>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</si>
  <si>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</si>
  <si>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</si>
  <si>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</si>
  <si>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</si>
  <si>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</si>
  <si>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</si>
  <si>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</si>
  <si>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</si>
  <si>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</si>
  <si>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</si>
  <si>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</si>
  <si>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</si>
  <si>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</si>
  <si>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</si>
  <si>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</si>
  <si>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</si>
  <si>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</si>
  <si>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</si>
  <si>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</si>
  <si>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</si>
  <si>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</si>
  <si>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</si>
  <si>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</si>
  <si>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</si>
  <si>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</si>
  <si>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</si>
  <si>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</si>
  <si>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</si>
  <si>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</si>
  <si>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</si>
  <si>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</si>
  <si>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</si>
  <si>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</si>
  <si>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</si>
  <si>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</si>
  <si>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</si>
  <si>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</si>
  <si>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</si>
  <si>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</si>
  <si>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</si>
  <si>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</si>
  <si>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</si>
  <si>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</si>
  <si>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</si>
  <si>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</si>
  <si>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</si>
  <si>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</si>
  <si>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</si>
  <si>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</si>
  <si>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</si>
  <si>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</si>
  <si>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</si>
  <si>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</si>
  <si>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</si>
  <si>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</si>
  <si>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</si>
  <si>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</si>
  <si>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</si>
  <si>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</si>
  <si>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</si>
  <si>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</si>
  <si>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</si>
  <si>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</si>
  <si>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</si>
  <si>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</si>
  <si>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</si>
  <si>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</si>
  <si>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</si>
  <si>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</si>
  <si>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</si>
  <si>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</si>
  <si>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</si>
  <si>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</si>
  <si>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</si>
  <si>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</si>
  <si>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</si>
  <si>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</si>
  <si>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</si>
  <si>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</si>
  <si>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</si>
  <si>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</si>
  <si>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</si>
  <si>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</si>
  <si>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</si>
  <si>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</si>
  <si>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</si>
  <si>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</si>
  <si>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</si>
  <si>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</si>
  <si>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</si>
  <si>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</si>
  <si>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</si>
  <si>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</si>
  <si>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</si>
  <si>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</si>
  <si>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</si>
  <si>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</si>
  <si>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</si>
  <si>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</si>
  <si>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</si>
  <si>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</si>
  <si>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</si>
  <si>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</si>
  <si>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</si>
  <si>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</si>
  <si>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</si>
  <si>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</si>
  <si>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</si>
  <si>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</si>
  <si>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</si>
  <si>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</si>
  <si>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</si>
  <si>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</si>
  <si>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</si>
  <si>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</si>
  <si>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</si>
  <si>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</si>
  <si>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</si>
  <si>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</si>
  <si>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</si>
  <si>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</si>
  <si>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</si>
  <si>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</si>
  <si>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</si>
  <si>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</si>
  <si>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</si>
  <si>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</si>
  <si>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</si>
  <si>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</si>
  <si>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</si>
  <si>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</si>
  <si>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</si>
  <si>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</si>
  <si>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</si>
  <si>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</si>
  <si>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</si>
  <si>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</si>
  <si>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</si>
  <si>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</si>
  <si>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</si>
  <si>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</si>
  <si>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</si>
  <si>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</si>
  <si>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</si>
  <si>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</si>
  <si>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</si>
  <si>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</si>
  <si>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</si>
  <si>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</si>
  <si>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</si>
  <si>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</si>
  <si>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</si>
  <si>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</si>
  <si>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</si>
  <si>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</si>
  <si>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</si>
  <si>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</si>
  <si>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</si>
  <si>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</si>
  <si>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</si>
  <si>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</si>
  <si>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</si>
  <si>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</si>
  <si>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</si>
  <si>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</si>
  <si>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</si>
  <si>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</si>
  <si>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</si>
  <si>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</si>
  <si>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</si>
  <si>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</si>
  <si>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</si>
  <si>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</si>
  <si>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</si>
  <si>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</si>
  <si>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</si>
  <si>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</si>
  <si>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</si>
  <si>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</si>
  <si>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</si>
  <si>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</si>
  <si>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</si>
  <si>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</si>
  <si>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</si>
  <si>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</si>
  <si>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</si>
  <si>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</si>
  <si>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</si>
  <si>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</si>
  <si>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</si>
  <si>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</si>
  <si>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</si>
  <si>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</si>
  <si>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</si>
  <si>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</si>
  <si>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</si>
  <si>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</si>
  <si>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</si>
  <si>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</si>
  <si>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</si>
  <si>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</si>
  <si>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</si>
  <si>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</si>
  <si>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</si>
  <si>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</si>
  <si>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</si>
  <si>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</si>
  <si>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</si>
  <si>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</si>
  <si>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</si>
  <si>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</si>
  <si>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</si>
  <si>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</si>
  <si>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</si>
  <si>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</si>
  <si>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</si>
  <si>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</si>
  <si>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</si>
  <si>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</si>
  <si>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</si>
  <si>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</si>
  <si>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</si>
  <si>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</si>
  <si>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</si>
  <si>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</si>
  <si>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</si>
  <si>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</si>
  <si>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</si>
  <si>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</si>
  <si>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</si>
  <si>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</si>
  <si>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</si>
  <si>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</si>
  <si>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</si>
  <si>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</si>
  <si>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</si>
  <si>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</si>
  <si>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</si>
  <si>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</si>
  <si>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</si>
  <si>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</si>
  <si>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</si>
  <si>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</si>
  <si>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</si>
  <si>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</si>
  <si>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</si>
  <si>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</si>
  <si>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</si>
  <si>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</si>
  <si>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</si>
  <si>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</si>
  <si>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</si>
  <si>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</si>
  <si>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</si>
  <si>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</si>
  <si>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</si>
  <si>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</si>
  <si>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</si>
  <si>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</si>
  <si>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</si>
  <si>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</si>
  <si>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</si>
  <si>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</si>
  <si>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</si>
  <si>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</si>
  <si>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</si>
  <si>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</si>
  <si>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</si>
  <si>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</si>
  <si>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</si>
  <si>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</si>
  <si>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</si>
  <si>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</si>
  <si>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</si>
  <si>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</si>
  <si>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</si>
  <si>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</si>
  <si>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</si>
  <si>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</si>
  <si>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</si>
  <si>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</si>
  <si>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</si>
  <si>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</si>
  <si>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</si>
  <si>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</si>
  <si>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</si>
  <si>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</si>
  <si>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</si>
  <si>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</si>
  <si>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</si>
  <si>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</si>
  <si>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</si>
  <si>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</si>
  <si>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</si>
  <si>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</si>
  <si>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</si>
  <si>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</si>
  <si>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</si>
  <si>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</si>
  <si>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</si>
  <si>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</si>
  <si>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</si>
  <si>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</si>
  <si>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</si>
  <si>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</si>
  <si>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</si>
  <si>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</si>
  <si>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</si>
  <si>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</si>
  <si>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</si>
  <si>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</si>
  <si>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</si>
  <si>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</si>
  <si>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</si>
  <si>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</si>
  <si>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</si>
  <si>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</si>
  <si>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</si>
  <si>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</si>
  <si>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</si>
  <si>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</si>
  <si>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</si>
  <si>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</si>
  <si>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</si>
  <si>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</si>
  <si>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</si>
  <si>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</si>
  <si>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</si>
  <si>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</si>
  <si>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</si>
  <si>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</si>
  <si>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</si>
  <si>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</si>
  <si>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</si>
  <si>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</si>
  <si>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</si>
  <si>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</si>
  <si>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</si>
  <si>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</si>
  <si>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</si>
  <si>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</si>
  <si>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</si>
  <si>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</si>
  <si>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</si>
  <si>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</si>
  <si>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</si>
  <si>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</si>
  <si>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</si>
  <si>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</si>
  <si>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</si>
  <si>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</si>
  <si>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</si>
  <si>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</si>
  <si>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</si>
  <si>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</si>
  <si>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</si>
  <si>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</si>
  <si>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</si>
  <si>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</si>
  <si>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</si>
  <si>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</si>
  <si>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</si>
  <si>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</si>
  <si>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</si>
  <si>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</si>
  <si>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</si>
  <si>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</si>
  <si>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</si>
  <si>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</si>
  <si>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</si>
  <si>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</si>
  <si>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</si>
  <si>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</si>
  <si>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</si>
  <si>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</si>
  <si>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</si>
  <si>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</si>
  <si>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</si>
  <si>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</si>
  <si>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</si>
  <si>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</si>
  <si>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</si>
  <si>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</si>
  <si>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</si>
  <si>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</si>
  <si>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</si>
  <si>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</si>
  <si>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</si>
  <si>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</si>
  <si>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</si>
  <si>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</si>
  <si>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</si>
  <si>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</si>
  <si>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</si>
  <si>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</si>
  <si>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</si>
  <si>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</si>
  <si>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</si>
  <si>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</si>
  <si>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</si>
  <si>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</si>
  <si>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</si>
  <si>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</si>
  <si>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</si>
  <si>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</si>
  <si>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</si>
  <si>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</si>
  <si>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</si>
  <si>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</si>
  <si>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</si>
  <si>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</si>
  <si>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</si>
  <si>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</si>
  <si>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</si>
  <si>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</si>
  <si>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</si>
  <si>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</si>
  <si>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</si>
  <si>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</si>
  <si>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</si>
  <si>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</si>
  <si>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</si>
  <si>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</si>
  <si>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</si>
  <si>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</si>
  <si>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</si>
  <si>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</si>
  <si>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</si>
  <si>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</si>
  <si>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</si>
  <si>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</si>
  <si>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</si>
  <si>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</si>
  <si>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</si>
  <si>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</si>
  <si>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</si>
  <si>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</si>
  <si>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</si>
  <si>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</si>
  <si>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</si>
  <si>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</si>
  <si>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</si>
  <si>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</si>
  <si>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</si>
  <si>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</si>
  <si>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</si>
  <si>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</si>
  <si>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</si>
  <si>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</si>
  <si>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</si>
  <si>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</si>
  <si>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</si>
  <si>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</si>
  <si>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</si>
  <si>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</si>
  <si>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</si>
  <si>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</si>
  <si>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</si>
  <si>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</si>
  <si>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</si>
  <si>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</si>
  <si>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</si>
  <si>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</si>
  <si>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</si>
  <si>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</si>
  <si>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</si>
  <si>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</si>
  <si>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</si>
  <si>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</si>
  <si>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</si>
  <si>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</si>
  <si>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</si>
  <si>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</si>
  <si>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</si>
  <si>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</si>
  <si>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</si>
  <si>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</si>
  <si>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</si>
  <si>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</si>
  <si>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</si>
  <si>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</si>
  <si>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</si>
  <si>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</si>
  <si>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</si>
  <si>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</si>
  <si>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</si>
  <si>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</si>
  <si>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</si>
  <si>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</si>
  <si>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</si>
  <si>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</si>
  <si>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</si>
  <si>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</si>
  <si>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</si>
  <si>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</si>
  <si>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</si>
  <si>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</si>
  <si>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</si>
  <si>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08/99</t>
  </si>
  <si>
    <t>08/19</t>
  </si>
  <si>
    <t>08/22</t>
  </si>
  <si>
    <t>08/12</t>
  </si>
  <si>
    <t>Brookline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</si>
</sst>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.8000000000000007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0" fontId="10" fillId="0" borderId="0"/>
    <xf numFmtId="0" fontId="38" fillId="0" borderId="0"/>
    <xf numFmtId="0" fontId="10" fillId="0" borderId="0"/>
  </cellStyleXfs>
  <cellXfs count="31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8" fontId="37" fillId="0" borderId="23" xfId="0" applyNumberFormat="1" applyFont="1" applyBorder="1" applyAlignment="1" applyProtection="1">
      <alignment horizontal="right"/>
      <protection locked="0"/>
    </xf>
    <xf numFmtId="8" fontId="37" fillId="0" borderId="24" xfId="0" applyNumberFormat="1" applyFont="1" applyBorder="1" applyAlignment="1" applyProtection="1">
      <alignment horizontal="right"/>
      <protection locked="0"/>
    </xf>
    <xf numFmtId="40" fontId="2" fillId="0" borderId="0" xfId="1" applyNumberFormat="1" applyFont="1" applyProtection="1">
      <protection locked="0"/>
    </xf>
    <xf numFmtId="40" fontId="2" fillId="0" borderId="0" xfId="3" applyNumberFormat="1" applyFont="1" applyProtection="1">
      <protection locked="0"/>
    </xf>
    <xf numFmtId="8" fontId="2" fillId="0" borderId="0" xfId="3" applyNumberFormat="1" applyFont="1" applyProtection="1">
      <protection locked="0"/>
    </xf>
    <xf numFmtId="40" fontId="2" fillId="0" borderId="0" xfId="3" applyNumberFormat="1" applyFont="1" applyProtection="1">
      <protection locked="0"/>
    </xf>
    <xf numFmtId="40" fontId="2" fillId="0" borderId="0" xfId="3" applyNumberFormat="1" applyFont="1" applyProtection="1">
      <protection locked="0"/>
    </xf>
    <xf numFmtId="40" fontId="2" fillId="0" borderId="0" xfId="3" applyNumberFormat="1" applyFont="1" applyProtection="1">
      <protection locked="0"/>
    </xf>
    <xf numFmtId="40" fontId="2" fillId="0" borderId="0" xfId="3" applyNumberFormat="1" applyFont="1" applyProtection="1">
      <protection locked="0"/>
    </xf>
    <xf numFmtId="40" fontId="2" fillId="0" borderId="0" xfId="3" applyNumberFormat="1" applyFont="1" applyProtection="1">
      <protection locked="0"/>
    </xf>
  </cellXfs>
  <cellStyles count="4">
    <cellStyle name="Normal" xfId="0" builtinId="0"/>
    <cellStyle name="Normal 2" xfId="3"/>
    <cellStyle name="Normal 3" xfId="2"/>
    <cellStyle name="Normal 4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540" sqref="H54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71</v>
      </c>
      <c r="C2" s="21">
        <v>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197077.53</v>
      </c>
      <c r="G9" s="18">
        <v>21605.73</v>
      </c>
      <c r="H9" s="18"/>
      <c r="I9" s="18">
        <v>8575.5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386.6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325.01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11155.76</v>
      </c>
      <c r="G13" s="18">
        <v>7496.14</v>
      </c>
      <c r="H13" s="18">
        <v>69109.23</v>
      </c>
      <c r="I13" s="18"/>
      <c r="J13" s="67">
        <f>SUM(I441)</f>
        <v>84988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5464.65-930.92</f>
        <v>4533.7299999999996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28748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241901.62000000002</v>
      </c>
      <c r="G19" s="41">
        <f>SUM(G9:G18)</f>
        <v>29426.879999999997</v>
      </c>
      <c r="H19" s="41">
        <f>SUM(H9:H18)</f>
        <v>69109.23</v>
      </c>
      <c r="I19" s="41">
        <f>SUM(I9:I18)</f>
        <v>8575.5</v>
      </c>
      <c r="J19" s="41">
        <f>SUM(J9:J18)</f>
        <v>84988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60134</v>
      </c>
      <c r="I22" s="18"/>
      <c r="J22" s="67">
        <f>SUM(I447)</f>
        <v>21977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11552.99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87346.98</v>
      </c>
      <c r="G24" s="18">
        <v>717.81</v>
      </c>
      <c r="H24" s="18">
        <v>8975.23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24894.240000000002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32510.14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2448</v>
      </c>
      <c r="G30" s="18">
        <v>4614.59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6470.53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165222.88</v>
      </c>
      <c r="G32" s="41">
        <f>SUM(G22:G31)</f>
        <v>5332.4</v>
      </c>
      <c r="H32" s="41">
        <f>SUM(H22:H31)</f>
        <v>69109.23</v>
      </c>
      <c r="I32" s="41">
        <f>SUM(I22:I31)</f>
        <v>0</v>
      </c>
      <c r="J32" s="41">
        <f>SUM(J22:J31)</f>
        <v>21977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28748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8575.5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13737</v>
      </c>
      <c r="G47" s="18">
        <f>17553.28+6541.2</f>
        <v>24094.48</v>
      </c>
      <c r="H47" s="18"/>
      <c r="I47" s="18"/>
      <c r="J47" s="13">
        <f>SUM(I458)</f>
        <v>63011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34193.74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76678.739999999991</v>
      </c>
      <c r="G50" s="41">
        <f>SUM(G35:G49)</f>
        <v>24094.48</v>
      </c>
      <c r="H50" s="41">
        <f>SUM(H35:H49)</f>
        <v>0</v>
      </c>
      <c r="I50" s="41">
        <f>SUM(I35:I49)</f>
        <v>8575.5</v>
      </c>
      <c r="J50" s="41">
        <f>SUM(J35:J49)</f>
        <v>63011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241901.62</v>
      </c>
      <c r="G51" s="41">
        <f>G50+G32</f>
        <v>29426.879999999997</v>
      </c>
      <c r="H51" s="41">
        <f>H50+H32</f>
        <v>69109.23</v>
      </c>
      <c r="I51" s="41">
        <f>I50+I32</f>
        <v>8575.5</v>
      </c>
      <c r="J51" s="41">
        <f>J50+J32</f>
        <v>84988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5156644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5156644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38112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38112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1529.29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119555.77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2020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20876.25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110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24535.54</v>
      </c>
      <c r="G110" s="41">
        <f>SUM(G95:G109)</f>
        <v>119555.77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5219291.54</v>
      </c>
      <c r="G111" s="41">
        <f>G59+G110</f>
        <v>119555.77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2061625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613532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2675157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74032.149999999994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36399.919999999998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2251.7399999999998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110432.06999999999</v>
      </c>
      <c r="G135" s="41">
        <f>SUM(G122:G134)</f>
        <v>2251.7399999999998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2785589.07</v>
      </c>
      <c r="G139" s="41">
        <f>G120+SUM(G135:G136)</f>
        <v>2251.7399999999998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52523.76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34343.449999999997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33700.559999999998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139773.12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52407.33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8422.17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52407.33</v>
      </c>
      <c r="G161" s="41">
        <f>SUM(G149:G160)</f>
        <v>42122.729999999996</v>
      </c>
      <c r="H161" s="41">
        <f>SUM(H149:H160)</f>
        <v>226640.33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52407.33</v>
      </c>
      <c r="G168" s="41">
        <f>G146+G161+SUM(G162:G167)</f>
        <v>42122.729999999996</v>
      </c>
      <c r="H168" s="41">
        <f>H146+H161+SUM(H162:H167)</f>
        <v>226640.33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386400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>
        <v>22100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408500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4356.2299999999996</v>
      </c>
      <c r="H178" s="18"/>
      <c r="I178" s="18"/>
      <c r="J178" s="18">
        <v>10000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4356.2299999999996</v>
      </c>
      <c r="H182" s="41">
        <f>SUM(H178:H181)</f>
        <v>0</v>
      </c>
      <c r="I182" s="41">
        <f>SUM(I178:I181)</f>
        <v>0</v>
      </c>
      <c r="J182" s="41">
        <f>SUM(J178:J181)</f>
        <v>10000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4356.2299999999996</v>
      </c>
      <c r="H191" s="41">
        <f>+H182+SUM(H187:H190)</f>
        <v>0</v>
      </c>
      <c r="I191" s="41">
        <f>I176+I182+SUM(I187:I190)</f>
        <v>408500</v>
      </c>
      <c r="J191" s="41">
        <f>J182</f>
        <v>10000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8057287.9399999995</v>
      </c>
      <c r="G192" s="47">
        <f>G111+G139+G168+G191</f>
        <v>168286.47</v>
      </c>
      <c r="H192" s="47">
        <f>H111+H139+H168+H191</f>
        <v>226640.33</v>
      </c>
      <c r="I192" s="47">
        <f>I111+I139+I168+I191</f>
        <v>408500</v>
      </c>
      <c r="J192" s="47">
        <f>J111+J139+J191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2426718.31</v>
      </c>
      <c r="G196" s="18">
        <f>F196/F$210*1661431.67</f>
        <v>882515.84583036404</v>
      </c>
      <c r="H196" s="18">
        <f>38148.85+0+12352.72+27779.02</f>
        <v>78280.59</v>
      </c>
      <c r="I196" s="18">
        <v>58709.55</v>
      </c>
      <c r="J196" s="18">
        <v>20197.68</v>
      </c>
      <c r="K196" s="18">
        <v>442.5</v>
      </c>
      <c r="L196" s="19">
        <f>SUM(F196:K196)</f>
        <v>3466864.475830364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870064.88</v>
      </c>
      <c r="G197" s="18">
        <f>F197/F$210*1661431.67</f>
        <v>316413.33909105178</v>
      </c>
      <c r="H197" s="18">
        <f>69046.48+0+173804.2</f>
        <v>242850.68</v>
      </c>
      <c r="I197" s="18">
        <v>8085.98</v>
      </c>
      <c r="J197" s="18">
        <v>4782.58</v>
      </c>
      <c r="K197" s="18"/>
      <c r="L197" s="19">
        <f>SUM(F197:K197)</f>
        <v>1442197.4590910517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568385.68000000005</v>
      </c>
      <c r="G201" s="18">
        <f>F201/F$210*1661431.67</f>
        <v>206702.75864983551</v>
      </c>
      <c r="H201" s="18">
        <f>83786.57+0+863.63</f>
        <v>84650.200000000012</v>
      </c>
      <c r="I201" s="18">
        <f>18181.25+0.44</f>
        <v>18181.689999999999</v>
      </c>
      <c r="J201" s="18">
        <v>210.33</v>
      </c>
      <c r="K201" s="18"/>
      <c r="L201" s="19">
        <f t="shared" ref="L201:L207" si="0">SUM(F201:K201)</f>
        <v>878130.65864983539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103019</v>
      </c>
      <c r="G202" s="18">
        <f>F202/F$210*1661431.67</f>
        <v>37464.546069048396</v>
      </c>
      <c r="H202" s="18">
        <f>0+86.85+0</f>
        <v>86.85</v>
      </c>
      <c r="I202" s="18">
        <v>14363.89</v>
      </c>
      <c r="J202" s="18"/>
      <c r="K202" s="18"/>
      <c r="L202" s="19">
        <f t="shared" si="0"/>
        <v>154934.28606904839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f>275824+0+814.6</f>
        <v>276638.59999999998</v>
      </c>
      <c r="I203" s="18">
        <v>4786.4799999999996</v>
      </c>
      <c r="J203" s="18"/>
      <c r="K203" s="18">
        <v>700</v>
      </c>
      <c r="L203" s="19">
        <f t="shared" si="0"/>
        <v>282125.07999999996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375790.2</v>
      </c>
      <c r="G204" s="18">
        <f>F204/F$210*1661431.67</f>
        <v>136662.25900267824</v>
      </c>
      <c r="H204" s="18">
        <f>2722.46+34905.77+14490.07</f>
        <v>52118.299999999996</v>
      </c>
      <c r="I204" s="18">
        <v>10765.91</v>
      </c>
      <c r="J204" s="18"/>
      <c r="K204" s="18">
        <v>2198.94</v>
      </c>
      <c r="L204" s="19">
        <f t="shared" si="0"/>
        <v>577535.60900267831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224582</v>
      </c>
      <c r="G206" s="18">
        <f>F206/F$210*1661431.67</f>
        <v>81672.921357021783</v>
      </c>
      <c r="H206" s="18">
        <f>118256.06+25260.64</f>
        <v>143516.70000000001</v>
      </c>
      <c r="I206" s="18">
        <v>185857.9</v>
      </c>
      <c r="J206" s="18">
        <v>4532.04</v>
      </c>
      <c r="K206" s="18"/>
      <c r="L206" s="19">
        <f t="shared" si="0"/>
        <v>640161.5613570218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394070.68</v>
      </c>
      <c r="I207" s="18">
        <v>56365.96</v>
      </c>
      <c r="J207" s="18"/>
      <c r="K207" s="18"/>
      <c r="L207" s="19">
        <f t="shared" si="0"/>
        <v>450436.64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4568560.07</v>
      </c>
      <c r="G210" s="41">
        <f t="shared" si="1"/>
        <v>1661431.67</v>
      </c>
      <c r="H210" s="41">
        <f t="shared" si="1"/>
        <v>1272212.5999999999</v>
      </c>
      <c r="I210" s="41">
        <f t="shared" si="1"/>
        <v>357117.36000000004</v>
      </c>
      <c r="J210" s="41">
        <f t="shared" si="1"/>
        <v>29722.630000000005</v>
      </c>
      <c r="K210" s="41">
        <f t="shared" si="1"/>
        <v>3341.44</v>
      </c>
      <c r="L210" s="41">
        <f t="shared" si="1"/>
        <v>7892385.7700000005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4568560.07</v>
      </c>
      <c r="G256" s="41">
        <f t="shared" si="8"/>
        <v>1661431.67</v>
      </c>
      <c r="H256" s="41">
        <f t="shared" si="8"/>
        <v>1272212.5999999999</v>
      </c>
      <c r="I256" s="41">
        <f t="shared" si="8"/>
        <v>357117.36000000004</v>
      </c>
      <c r="J256" s="41">
        <f t="shared" si="8"/>
        <v>29722.630000000005</v>
      </c>
      <c r="K256" s="41">
        <f t="shared" si="8"/>
        <v>3341.44</v>
      </c>
      <c r="L256" s="41">
        <f t="shared" si="8"/>
        <v>7892385.7700000005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217854.84</v>
      </c>
      <c r="L259" s="19">
        <f>SUM(F259:K259)</f>
        <v>217854.84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224988.36</v>
      </c>
      <c r="L260" s="19">
        <f>SUM(F260:K260)</f>
        <v>224988.36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4356.2299999999996</v>
      </c>
      <c r="L262" s="19">
        <f>SUM(F262:K262)</f>
        <v>4356.2299999999996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</v>
      </c>
      <c r="L265" s="19">
        <f t="shared" si="9"/>
        <v>10000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457199.42999999993</v>
      </c>
      <c r="L269" s="41">
        <f t="shared" si="9"/>
        <v>457199.42999999993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4568560.07</v>
      </c>
      <c r="G270" s="42">
        <f t="shared" si="11"/>
        <v>1661431.67</v>
      </c>
      <c r="H270" s="42">
        <f t="shared" si="11"/>
        <v>1272212.5999999999</v>
      </c>
      <c r="I270" s="42">
        <f t="shared" si="11"/>
        <v>357117.36000000004</v>
      </c>
      <c r="J270" s="42">
        <f t="shared" si="11"/>
        <v>29722.630000000005</v>
      </c>
      <c r="K270" s="42">
        <f t="shared" si="11"/>
        <v>460540.86999999994</v>
      </c>
      <c r="L270" s="42">
        <f t="shared" si="11"/>
        <v>8349585.2000000002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19309.82</v>
      </c>
      <c r="G275" s="18">
        <f>1477.15+1141.84</f>
        <v>2618.9899999999998</v>
      </c>
      <c r="H275" s="18">
        <v>1015</v>
      </c>
      <c r="I275" s="18">
        <v>18377.28</v>
      </c>
      <c r="J275" s="18"/>
      <c r="K275" s="18"/>
      <c r="L275" s="19">
        <f>SUM(F275:K275)</f>
        <v>41321.089999999997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100994.87</v>
      </c>
      <c r="G276" s="18">
        <v>5972.06</v>
      </c>
      <c r="H276" s="18">
        <v>21437</v>
      </c>
      <c r="I276" s="18">
        <v>10227.35</v>
      </c>
      <c r="J276" s="18"/>
      <c r="K276" s="18"/>
      <c r="L276" s="19">
        <f>SUM(F276:K276)</f>
        <v>138631.28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23648.17</v>
      </c>
      <c r="H281" s="18">
        <v>19147.79</v>
      </c>
      <c r="I281" s="18"/>
      <c r="J281" s="18"/>
      <c r="K281" s="18"/>
      <c r="L281" s="19">
        <f t="shared" si="12"/>
        <v>42795.96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3892</v>
      </c>
      <c r="I286" s="18"/>
      <c r="J286" s="18"/>
      <c r="K286" s="18"/>
      <c r="L286" s="19">
        <f t="shared" si="12"/>
        <v>3892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120304.69</v>
      </c>
      <c r="G289" s="42">
        <f t="shared" si="13"/>
        <v>32239.219999999998</v>
      </c>
      <c r="H289" s="42">
        <f t="shared" si="13"/>
        <v>45491.79</v>
      </c>
      <c r="I289" s="42">
        <f t="shared" si="13"/>
        <v>28604.629999999997</v>
      </c>
      <c r="J289" s="42">
        <f t="shared" si="13"/>
        <v>0</v>
      </c>
      <c r="K289" s="42">
        <f t="shared" si="13"/>
        <v>0</v>
      </c>
      <c r="L289" s="41">
        <f t="shared" si="13"/>
        <v>226640.33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120304.69</v>
      </c>
      <c r="G337" s="41">
        <f t="shared" si="20"/>
        <v>32239.219999999998</v>
      </c>
      <c r="H337" s="41">
        <f t="shared" si="20"/>
        <v>45491.79</v>
      </c>
      <c r="I337" s="41">
        <f t="shared" si="20"/>
        <v>28604.629999999997</v>
      </c>
      <c r="J337" s="41">
        <f t="shared" si="20"/>
        <v>0</v>
      </c>
      <c r="K337" s="41">
        <f t="shared" si="20"/>
        <v>0</v>
      </c>
      <c r="L337" s="41">
        <f t="shared" si="20"/>
        <v>226640.33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120304.69</v>
      </c>
      <c r="G351" s="41">
        <f>G337</f>
        <v>32239.219999999998</v>
      </c>
      <c r="H351" s="41">
        <f>H337</f>
        <v>45491.79</v>
      </c>
      <c r="I351" s="41">
        <f>I337</f>
        <v>28604.629999999997</v>
      </c>
      <c r="J351" s="41">
        <f>J337</f>
        <v>0</v>
      </c>
      <c r="K351" s="47">
        <f>K337+K350</f>
        <v>0</v>
      </c>
      <c r="L351" s="41">
        <f>L337+L350</f>
        <v>226640.33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72411.72</v>
      </c>
      <c r="G357" s="18"/>
      <c r="H357" s="18">
        <f>3637.67</f>
        <v>3637.67</v>
      </c>
      <c r="I357" s="18">
        <f>77273.71+8422.17</f>
        <v>85695.88</v>
      </c>
      <c r="J357" s="18"/>
      <c r="K357" s="18"/>
      <c r="L357" s="13">
        <f>SUM(F357:K357)</f>
        <v>161745.27000000002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72411.72</v>
      </c>
      <c r="G361" s="47">
        <f t="shared" si="22"/>
        <v>0</v>
      </c>
      <c r="H361" s="47">
        <f t="shared" si="22"/>
        <v>3637.67</v>
      </c>
      <c r="I361" s="47">
        <f t="shared" si="22"/>
        <v>85695.88</v>
      </c>
      <c r="J361" s="47">
        <f t="shared" si="22"/>
        <v>0</v>
      </c>
      <c r="K361" s="47">
        <f t="shared" si="22"/>
        <v>0</v>
      </c>
      <c r="L361" s="47">
        <f t="shared" si="22"/>
        <v>161745.27000000002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69621.75+8422.17-3637.67</f>
        <v>74406.25</v>
      </c>
      <c r="G366" s="18"/>
      <c r="H366" s="18"/>
      <c r="I366" s="56">
        <f>SUM(F366:H366)</f>
        <v>74406.25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11289.63</f>
        <v>11289.63</v>
      </c>
      <c r="G367" s="63"/>
      <c r="H367" s="63"/>
      <c r="I367" s="56">
        <f>SUM(F367:H367)</f>
        <v>11289.63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85695.88</v>
      </c>
      <c r="G368" s="47">
        <f>SUM(G366:G367)</f>
        <v>0</v>
      </c>
      <c r="H368" s="47">
        <f>SUM(H366:H367)</f>
        <v>0</v>
      </c>
      <c r="I368" s="47">
        <f>SUM(I366:I367)</f>
        <v>85695.88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1500</v>
      </c>
      <c r="I375" s="18"/>
      <c r="J375" s="18"/>
      <c r="K375" s="18"/>
      <c r="L375" s="13">
        <f t="shared" si="23"/>
        <v>1500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f>380595.5+17829</f>
        <v>398424.5</v>
      </c>
      <c r="I378" s="18"/>
      <c r="J378" s="18"/>
      <c r="K378" s="18"/>
      <c r="L378" s="13">
        <f t="shared" si="23"/>
        <v>398424.5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399924.5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399924.5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/>
      <c r="I395" s="18"/>
      <c r="J395" s="24" t="s">
        <v>289</v>
      </c>
      <c r="K395" s="24" t="s">
        <v>289</v>
      </c>
      <c r="L395" s="56">
        <f t="shared" si="26"/>
        <v>10000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>
        <f>4500+9967.36</f>
        <v>14467.36</v>
      </c>
      <c r="K421" s="18"/>
      <c r="L421" s="56">
        <f t="shared" si="29"/>
        <v>14467.36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14467.36</v>
      </c>
      <c r="K426" s="47">
        <f t="shared" si="30"/>
        <v>0</v>
      </c>
      <c r="L426" s="47">
        <f t="shared" si="30"/>
        <v>14467.36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14467.36</v>
      </c>
      <c r="K433" s="47">
        <f t="shared" si="32"/>
        <v>0</v>
      </c>
      <c r="L433" s="47">
        <f t="shared" si="32"/>
        <v>14467.36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84988</v>
      </c>
      <c r="H441" s="18"/>
      <c r="I441" s="56">
        <f t="shared" si="33"/>
        <v>84988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84988</v>
      </c>
      <c r="H445" s="13">
        <f>SUM(H438:H444)</f>
        <v>0</v>
      </c>
      <c r="I445" s="13">
        <f>SUM(I438:I444)</f>
        <v>84988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21977</v>
      </c>
      <c r="H447" s="18"/>
      <c r="I447" s="56">
        <f>SUM(F447:H447)</f>
        <v>21977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21977</v>
      </c>
      <c r="H451" s="72">
        <f>SUM(H447:H450)</f>
        <v>0</v>
      </c>
      <c r="I451" s="72">
        <f>SUM(I447:I450)</f>
        <v>21977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57435+5576</f>
        <v>63011</v>
      </c>
      <c r="H458" s="18"/>
      <c r="I458" s="56">
        <f t="shared" si="34"/>
        <v>63011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63011</v>
      </c>
      <c r="H459" s="83">
        <f>SUM(H453:H458)</f>
        <v>0</v>
      </c>
      <c r="I459" s="83">
        <f>SUM(I453:I458)</f>
        <v>63011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84988</v>
      </c>
      <c r="H460" s="42">
        <f>H451+H459</f>
        <v>0</v>
      </c>
      <c r="I460" s="42">
        <f>I451+I459</f>
        <v>84988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368976</v>
      </c>
      <c r="G464" s="18">
        <v>17553.28</v>
      </c>
      <c r="H464" s="18"/>
      <c r="I464" s="18"/>
      <c r="J464" s="18">
        <f>57435.36+10043</f>
        <v>67478.36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8057287.9399999995</v>
      </c>
      <c r="G467" s="18">
        <f t="shared" ref="G467:H467" si="35">G192</f>
        <v>168286.47</v>
      </c>
      <c r="H467" s="18">
        <f t="shared" si="35"/>
        <v>226640.33</v>
      </c>
      <c r="I467" s="18">
        <v>408500</v>
      </c>
      <c r="J467" s="18">
        <v>10000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8057287.9399999995</v>
      </c>
      <c r="G469" s="53">
        <f>SUM(G467:G468)</f>
        <v>168286.47</v>
      </c>
      <c r="H469" s="53">
        <f>SUM(H467:H468)</f>
        <v>226640.33</v>
      </c>
      <c r="I469" s="53">
        <f>SUM(I467:I468)</f>
        <v>408500</v>
      </c>
      <c r="J469" s="53">
        <f>SUM(J467:J468)</f>
        <v>10000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8349585.2000000002</v>
      </c>
      <c r="G471" s="18">
        <f>L361</f>
        <v>161745.27000000002</v>
      </c>
      <c r="H471" s="18">
        <f>L351</f>
        <v>226640.33</v>
      </c>
      <c r="I471" s="18">
        <v>399924.5</v>
      </c>
      <c r="J471" s="18">
        <v>14467.36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8349585.2000000002</v>
      </c>
      <c r="G473" s="53">
        <f>SUM(G471:G472)</f>
        <v>161745.27000000002</v>
      </c>
      <c r="H473" s="53">
        <f>SUM(H471:H472)</f>
        <v>226640.33</v>
      </c>
      <c r="I473" s="53">
        <f>SUM(I471:I472)</f>
        <v>399924.5</v>
      </c>
      <c r="J473" s="53">
        <f>SUM(J471:J472)</f>
        <v>14467.36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76678.739999999292</v>
      </c>
      <c r="G475" s="53">
        <f>(G464+G469)- G473</f>
        <v>24094.479999999981</v>
      </c>
      <c r="H475" s="53">
        <f>(H464+H469)- H473</f>
        <v>0</v>
      </c>
      <c r="I475" s="53">
        <f>(I464+I469)- I473</f>
        <v>8575.5</v>
      </c>
      <c r="J475" s="53">
        <f>(J464+J469)- J473</f>
        <v>63011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912</v>
      </c>
      <c r="H490" s="155"/>
      <c r="I490" s="155"/>
      <c r="J490" s="155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911</v>
      </c>
      <c r="H491" s="155"/>
      <c r="I491" s="155"/>
      <c r="J491" s="155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5367912</v>
      </c>
      <c r="G492" s="18">
        <v>386400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>
        <v>2.3216000000000001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1447368</v>
      </c>
      <c r="G494" s="18">
        <v>386400</v>
      </c>
      <c r="H494" s="18"/>
      <c r="I494" s="18"/>
      <c r="J494" s="18"/>
      <c r="K494" s="53">
        <f>SUM(F494:J494)</f>
        <v>1833768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6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184972.02+32882.98</f>
        <v>217855</v>
      </c>
      <c r="G496" s="18"/>
      <c r="H496" s="18"/>
      <c r="I496" s="18"/>
      <c r="J496" s="18"/>
      <c r="K496" s="53">
        <f t="shared" si="36"/>
        <v>217855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1223513</v>
      </c>
      <c r="G497" s="204">
        <f>386400-41400</f>
        <v>345000</v>
      </c>
      <c r="H497" s="204"/>
      <c r="I497" s="204"/>
      <c r="J497" s="204"/>
      <c r="K497" s="205">
        <f t="shared" si="36"/>
        <v>1568513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1793462</v>
      </c>
      <c r="G498" s="18">
        <f>72877-7405.7</f>
        <v>65471.3</v>
      </c>
      <c r="H498" s="18"/>
      <c r="I498" s="18"/>
      <c r="J498" s="18"/>
      <c r="K498" s="53">
        <f t="shared" si="36"/>
        <v>1858933.3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3016975</v>
      </c>
      <c r="G499" s="42">
        <f>SUM(G497:G498)</f>
        <v>410471.3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6"/>
        <v>3427446.3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f>179195+27459</f>
        <v>206654</v>
      </c>
      <c r="G500" s="204">
        <v>41400</v>
      </c>
      <c r="H500" s="204"/>
      <c r="I500" s="204"/>
      <c r="J500" s="204"/>
      <c r="K500" s="205">
        <f t="shared" si="36"/>
        <v>248054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192217+30948</f>
        <v>223165</v>
      </c>
      <c r="G501" s="18">
        <f>6471+5850</f>
        <v>12321</v>
      </c>
      <c r="H501" s="18"/>
      <c r="I501" s="18"/>
      <c r="J501" s="18"/>
      <c r="K501" s="53">
        <f t="shared" si="36"/>
        <v>235486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429819</v>
      </c>
      <c r="G502" s="42">
        <f>SUM(G500:G501)</f>
        <v>53721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6"/>
        <v>483540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304">
        <v>756956.39</v>
      </c>
      <c r="G520" s="304">
        <v>275229.34340399998</v>
      </c>
      <c r="H520" s="305">
        <v>262931.36</v>
      </c>
      <c r="I520" s="304">
        <v>16969.789999999997</v>
      </c>
      <c r="J520" s="304">
        <v>4782.58</v>
      </c>
      <c r="K520" s="18"/>
      <c r="L520" s="88">
        <f>SUM(F520:K520)</f>
        <v>1316869.4634040003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756956.39</v>
      </c>
      <c r="G523" s="108">
        <f t="shared" ref="G523:L523" si="37">SUM(G520:G522)</f>
        <v>275229.34340399998</v>
      </c>
      <c r="H523" s="108">
        <f t="shared" si="37"/>
        <v>262931.36</v>
      </c>
      <c r="I523" s="108">
        <f t="shared" si="37"/>
        <v>16969.789999999997</v>
      </c>
      <c r="J523" s="108">
        <f t="shared" si="37"/>
        <v>4782.58</v>
      </c>
      <c r="K523" s="108">
        <f t="shared" si="37"/>
        <v>0</v>
      </c>
      <c r="L523" s="89">
        <f t="shared" si="37"/>
        <v>1316869.4634040003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306">
        <v>249887.59000000003</v>
      </c>
      <c r="G525" s="306">
        <v>90859.127724000005</v>
      </c>
      <c r="H525" s="306">
        <v>71063.350000000006</v>
      </c>
      <c r="I525" s="306">
        <v>1761.1</v>
      </c>
      <c r="J525" s="18"/>
      <c r="K525" s="18"/>
      <c r="L525" s="88">
        <f>SUM(F525:K525)</f>
        <v>413571.16772400006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249887.59000000003</v>
      </c>
      <c r="G528" s="89">
        <f t="shared" ref="G528:L528" si="38">SUM(G525:G527)</f>
        <v>90859.127724000005</v>
      </c>
      <c r="H528" s="89">
        <f t="shared" si="38"/>
        <v>71063.350000000006</v>
      </c>
      <c r="I528" s="89">
        <f t="shared" si="38"/>
        <v>1761.1</v>
      </c>
      <c r="J528" s="89">
        <f t="shared" si="38"/>
        <v>0</v>
      </c>
      <c r="K528" s="89">
        <f t="shared" si="38"/>
        <v>0</v>
      </c>
      <c r="L528" s="89">
        <f t="shared" si="38"/>
        <v>413571.16772400006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307">
        <v>96726.239999999991</v>
      </c>
      <c r="G530" s="308">
        <v>35169.660863999998</v>
      </c>
      <c r="H530" s="18"/>
      <c r="I530" s="18"/>
      <c r="J530" s="18"/>
      <c r="K530" s="18"/>
      <c r="L530" s="88">
        <f>SUM(F530:K530)</f>
        <v>131895.900864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96726.239999999991</v>
      </c>
      <c r="G533" s="89">
        <f t="shared" ref="G533:L533" si="39">SUM(G530:G532)</f>
        <v>35169.660863999998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131895.900864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309">
        <v>1356.32</v>
      </c>
      <c r="I535" s="18"/>
      <c r="J535" s="18"/>
      <c r="K535" s="18"/>
      <c r="L535" s="88">
        <f>SUM(F535:K535)</f>
        <v>1356.32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1356.32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1356.32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310">
        <v>205654.63</v>
      </c>
      <c r="I540" s="18"/>
      <c r="J540" s="18"/>
      <c r="K540" s="18"/>
      <c r="L540" s="88">
        <f>SUM(F540:K540)</f>
        <v>205654.63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205654.63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205654.63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1103570.22</v>
      </c>
      <c r="G544" s="89">
        <f t="shared" ref="G544:L544" si="42">G523+G528+G533+G538+G543</f>
        <v>401258.13199199998</v>
      </c>
      <c r="H544" s="89">
        <f t="shared" si="42"/>
        <v>541005.65999999992</v>
      </c>
      <c r="I544" s="89">
        <f t="shared" si="42"/>
        <v>18730.889999999996</v>
      </c>
      <c r="J544" s="89">
        <f t="shared" si="42"/>
        <v>4782.58</v>
      </c>
      <c r="K544" s="89">
        <f t="shared" si="42"/>
        <v>0</v>
      </c>
      <c r="L544" s="89">
        <f t="shared" si="42"/>
        <v>2069347.4819920002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1316869.4634040003</v>
      </c>
      <c r="G548" s="87">
        <f>L525</f>
        <v>413571.16772400006</v>
      </c>
      <c r="H548" s="87">
        <f>L530</f>
        <v>131895.900864</v>
      </c>
      <c r="I548" s="87">
        <f>L535</f>
        <v>1356.32</v>
      </c>
      <c r="J548" s="87">
        <f>L540</f>
        <v>205654.63</v>
      </c>
      <c r="K548" s="87">
        <f>SUM(F548:J548)</f>
        <v>2069347.4819920002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1316869.4634040003</v>
      </c>
      <c r="G551" s="89">
        <f t="shared" si="43"/>
        <v>413571.16772400006</v>
      </c>
      <c r="H551" s="89">
        <f t="shared" si="43"/>
        <v>131895.900864</v>
      </c>
      <c r="I551" s="89">
        <f t="shared" si="43"/>
        <v>1356.32</v>
      </c>
      <c r="J551" s="89">
        <f t="shared" si="43"/>
        <v>205654.63</v>
      </c>
      <c r="K551" s="89">
        <f t="shared" si="43"/>
        <v>2069347.4819920002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thickBot="1" x14ac:dyDescent="0.2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thickBot="1" x14ac:dyDescent="0.2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301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thickBot="1" x14ac:dyDescent="0.2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302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303">
        <v>163796.28</v>
      </c>
      <c r="G581" s="18"/>
      <c r="H581" s="18"/>
      <c r="I581" s="87">
        <f t="shared" si="48"/>
        <v>163796.28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107954.4+106196.5+30631.11</f>
        <v>244782.01</v>
      </c>
      <c r="I590" s="18"/>
      <c r="J590" s="18"/>
      <c r="K590" s="104">
        <f t="shared" ref="K590:K596" si="49">SUM(H590:J590)</f>
        <v>244782.01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45616.55+134303.23+25734.85</f>
        <v>205654.63000000003</v>
      </c>
      <c r="I591" s="18"/>
      <c r="J591" s="18"/>
      <c r="K591" s="104">
        <f t="shared" si="49"/>
        <v>205654.63000000003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450436.64</v>
      </c>
      <c r="I597" s="108">
        <f>SUM(I590:I596)</f>
        <v>0</v>
      </c>
      <c r="J597" s="108">
        <f>SUM(J590:J596)</f>
        <v>0</v>
      </c>
      <c r="K597" s="108">
        <f>SUM(K590:K596)</f>
        <v>450436.64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29722.63</v>
      </c>
      <c r="I603" s="18"/>
      <c r="J603" s="18"/>
      <c r="K603" s="104">
        <f>SUM(H603:J603)</f>
        <v>29722.63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29722.63</v>
      </c>
      <c r="I604" s="108">
        <f>SUM(I601:I603)</f>
        <v>0</v>
      </c>
      <c r="J604" s="108">
        <f>SUM(J601:J603)</f>
        <v>0</v>
      </c>
      <c r="K604" s="108">
        <f>SUM(K601:K603)</f>
        <v>29722.63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241901.62000000002</v>
      </c>
      <c r="H616" s="109">
        <f>SUM(F51)</f>
        <v>241901.62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29426.879999999997</v>
      </c>
      <c r="H617" s="109">
        <f>SUM(G51)</f>
        <v>29426.879999999997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69109.23</v>
      </c>
      <c r="H618" s="109">
        <f>SUM(H51)</f>
        <v>69109.23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8575.5</v>
      </c>
      <c r="H619" s="109">
        <f>SUM(I51)</f>
        <v>8575.5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84988</v>
      </c>
      <c r="H620" s="109">
        <f>SUM(J51)</f>
        <v>84988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76678.739999999991</v>
      </c>
      <c r="H621" s="109">
        <f>F475</f>
        <v>76678.739999999292</v>
      </c>
      <c r="I621" s="121" t="s">
        <v>101</v>
      </c>
      <c r="J621" s="109">
        <f t="shared" ref="J621:J654" si="51">G621-H621</f>
        <v>6.9849193096160889E-10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24094.48</v>
      </c>
      <c r="H622" s="109">
        <f>G475</f>
        <v>24094.479999999981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8575.5</v>
      </c>
      <c r="H624" s="109">
        <f>I475</f>
        <v>8575.5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63011</v>
      </c>
      <c r="H625" s="109">
        <f>J475</f>
        <v>63011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8057287.9399999995</v>
      </c>
      <c r="H626" s="104">
        <f>SUM(F467)</f>
        <v>8057287.9399999995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168286.47</v>
      </c>
      <c r="H627" s="104">
        <f>SUM(G467)</f>
        <v>168286.47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226640.33</v>
      </c>
      <c r="H628" s="104">
        <f>SUM(H467)</f>
        <v>226640.33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408500</v>
      </c>
      <c r="H629" s="104">
        <f>SUM(I467)</f>
        <v>408500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10000</v>
      </c>
      <c r="H630" s="104">
        <f>SUM(J467)</f>
        <v>10000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8349585.2000000002</v>
      </c>
      <c r="H631" s="104">
        <f>SUM(F471)</f>
        <v>8349585.2000000002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226640.33</v>
      </c>
      <c r="H632" s="104">
        <f>SUM(H471)</f>
        <v>226640.33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85695.88</v>
      </c>
      <c r="H633" s="104">
        <f>I368</f>
        <v>85695.88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161745.27000000002</v>
      </c>
      <c r="H634" s="104">
        <f>SUM(G471)</f>
        <v>161745.27000000002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399924.5</v>
      </c>
      <c r="H635" s="104">
        <f>SUM(I471)</f>
        <v>399924.5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10000</v>
      </c>
      <c r="H636" s="164">
        <f>SUM(J467)</f>
        <v>10000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14467.36</v>
      </c>
      <c r="H637" s="164">
        <f>SUM(J471)</f>
        <v>14467.36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84988</v>
      </c>
      <c r="H639" s="104">
        <f>SUM(G460)</f>
        <v>84988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84988</v>
      </c>
      <c r="H641" s="104">
        <f>SUM(I460)</f>
        <v>84988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</v>
      </c>
      <c r="H644" s="104">
        <f>G407</f>
        <v>10000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10000</v>
      </c>
      <c r="H645" s="104">
        <f>L407</f>
        <v>10000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450436.64</v>
      </c>
      <c r="H646" s="104">
        <f>L207+L225+L243</f>
        <v>450436.64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29722.63</v>
      </c>
      <c r="H647" s="104">
        <f>(J256+J337)-(J254+J335)</f>
        <v>29722.630000000005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450436.64</v>
      </c>
      <c r="H648" s="104">
        <f>H597</f>
        <v>450436.64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4356.2299999999996</v>
      </c>
      <c r="H651" s="104">
        <f>K262+K344</f>
        <v>4356.2299999999996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</v>
      </c>
      <c r="H654" s="104">
        <f>K265+K346</f>
        <v>10000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8280771.370000001</v>
      </c>
      <c r="G659" s="19">
        <f>(L228+L308+L358)</f>
        <v>0</v>
      </c>
      <c r="H659" s="19">
        <f>(L246+L327+L359)</f>
        <v>0</v>
      </c>
      <c r="I659" s="19">
        <f>SUM(F659:H659)</f>
        <v>8280771.370000001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119555.77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119555.77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454328.64</v>
      </c>
      <c r="G661" s="19">
        <f>(L225+L305)-(J225+J305)</f>
        <v>0</v>
      </c>
      <c r="H661" s="19">
        <f>(L243+L324)-(J243+J324)</f>
        <v>0</v>
      </c>
      <c r="I661" s="19">
        <f>SUM(F661:H661)</f>
        <v>454328.64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193518.91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193518.91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7513368.0500000007</v>
      </c>
      <c r="G663" s="19">
        <f>G659-SUM(G660:G662)</f>
        <v>0</v>
      </c>
      <c r="H663" s="19">
        <f>H659-SUM(H660:H662)</f>
        <v>0</v>
      </c>
      <c r="I663" s="19">
        <f>I659-SUM(I660:I662)</f>
        <v>7513368.0500000007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573.48</v>
      </c>
      <c r="G664" s="248"/>
      <c r="H664" s="248"/>
      <c r="I664" s="19">
        <f>SUM(F664:H664)</f>
        <v>573.48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13101.36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13101.36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13101.36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13101.36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3" sqref="A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Brookline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2446028.13</v>
      </c>
      <c r="C9" s="229">
        <f>'DOE25'!G196+'DOE25'!G214+'DOE25'!G232+'DOE25'!G275+'DOE25'!G294+'DOE25'!G313</f>
        <v>885134.83583036403</v>
      </c>
    </row>
    <row r="10" spans="1:3" x14ac:dyDescent="0.2">
      <c r="A10" t="s">
        <v>779</v>
      </c>
      <c r="B10" s="240">
        <f>1213335.97+974415.79+8695.8+34783.2</f>
        <v>2231230.7599999998</v>
      </c>
      <c r="C10" s="240">
        <f>B10/B$13*C$9</f>
        <v>807406.9338083443</v>
      </c>
    </row>
    <row r="11" spans="1:3" x14ac:dyDescent="0.2">
      <c r="A11" t="s">
        <v>780</v>
      </c>
      <c r="B11" s="240">
        <f>B9-B10-B12</f>
        <v>169726.77000000011</v>
      </c>
      <c r="C11" s="240">
        <f>B11/B$13*C$9</f>
        <v>61418.376533538911</v>
      </c>
    </row>
    <row r="12" spans="1:3" x14ac:dyDescent="0.2">
      <c r="A12" t="s">
        <v>781</v>
      </c>
      <c r="B12" s="240">
        <f>22622.58+22448.02</f>
        <v>45070.600000000006</v>
      </c>
      <c r="C12" s="240">
        <f>B12/B$13*C$9</f>
        <v>16309.525488480793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2446028.13</v>
      </c>
      <c r="C13" s="231">
        <f>SUM(C10:C12)</f>
        <v>885134.83583036403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971059.75</v>
      </c>
      <c r="C18" s="229">
        <f>'DOE25'!G197+'DOE25'!G215+'DOE25'!G233+'DOE25'!G276+'DOE25'!G295+'DOE25'!G314</f>
        <v>322385.39909105178</v>
      </c>
    </row>
    <row r="19" spans="1:3" x14ac:dyDescent="0.2">
      <c r="A19" t="s">
        <v>779</v>
      </c>
      <c r="B19" s="240">
        <f>153922.81+170477.13+92527.07</f>
        <v>416927.01</v>
      </c>
      <c r="C19" s="240">
        <f>B19/B$22*C$18</f>
        <v>138417.00318717663</v>
      </c>
    </row>
    <row r="20" spans="1:3" x14ac:dyDescent="0.2">
      <c r="A20" t="s">
        <v>780</v>
      </c>
      <c r="B20" s="240">
        <f>B18-B19-B21</f>
        <v>475163.5</v>
      </c>
      <c r="C20" s="240">
        <f>B20/B$22*C$18</f>
        <v>157751.13177227351</v>
      </c>
    </row>
    <row r="21" spans="1:3" x14ac:dyDescent="0.2">
      <c r="A21" t="s">
        <v>781</v>
      </c>
      <c r="B21" s="240">
        <f>36860+42109.24</f>
        <v>78969.239999999991</v>
      </c>
      <c r="C21" s="240">
        <f>B21/B$22*C$18</f>
        <v>26217.264131601631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971059.75</v>
      </c>
      <c r="C22" s="231">
        <f>SUM(C19:C21)</f>
        <v>322385.39909105172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A3" sqref="A3"/>
      <selection pane="bottomLeft" activeCell="A3" sqref="A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Brookline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4909061.9349214155</v>
      </c>
      <c r="D5" s="20">
        <f>SUM('DOE25'!L196:L199)+SUM('DOE25'!L214:L217)+SUM('DOE25'!L232:L235)-F5-G5</f>
        <v>4883639.1749214157</v>
      </c>
      <c r="E5" s="243"/>
      <c r="F5" s="255">
        <f>SUM('DOE25'!J196:J199)+SUM('DOE25'!J214:J217)+SUM('DOE25'!J232:J235)</f>
        <v>24980.260000000002</v>
      </c>
      <c r="G5" s="53">
        <f>SUM('DOE25'!K196:K199)+SUM('DOE25'!K214:K217)+SUM('DOE25'!K232:K235)</f>
        <v>442.5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878130.65864983539</v>
      </c>
      <c r="D6" s="20">
        <f>'DOE25'!L201+'DOE25'!L219+'DOE25'!L237-F6-G6</f>
        <v>877920.32864983543</v>
      </c>
      <c r="E6" s="243"/>
      <c r="F6" s="255">
        <f>'DOE25'!J201+'DOE25'!J219+'DOE25'!J237</f>
        <v>210.33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154934.28606904839</v>
      </c>
      <c r="D7" s="20">
        <f>'DOE25'!L202+'DOE25'!L220+'DOE25'!L238-F7-G7</f>
        <v>154934.28606904839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194707.24999999994</v>
      </c>
      <c r="D8" s="243"/>
      <c r="E8" s="20">
        <f>'DOE25'!L203+'DOE25'!L221+'DOE25'!L239-F8-G8-D9-D11</f>
        <v>194007.24999999994</v>
      </c>
      <c r="F8" s="255">
        <f>'DOE25'!J203+'DOE25'!J221+'DOE25'!J239</f>
        <v>0</v>
      </c>
      <c r="G8" s="53">
        <f>'DOE25'!K203+'DOE25'!K221+'DOE25'!K239</f>
        <v>700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12420.080000000002</v>
      </c>
      <c r="D9" s="244">
        <f>21020.08-8600</f>
        <v>12420.080000000002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8600</v>
      </c>
      <c r="D10" s="243"/>
      <c r="E10" s="244">
        <v>8600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74997.75</v>
      </c>
      <c r="D11" s="244">
        <v>74997.75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577535.60900267831</v>
      </c>
      <c r="D12" s="20">
        <f>'DOE25'!L204+'DOE25'!L222+'DOE25'!L240-F12-G12</f>
        <v>575336.66900267836</v>
      </c>
      <c r="E12" s="243"/>
      <c r="F12" s="255">
        <f>'DOE25'!J204+'DOE25'!J222+'DOE25'!J240</f>
        <v>0</v>
      </c>
      <c r="G12" s="53">
        <f>'DOE25'!K204+'DOE25'!K222+'DOE25'!K240</f>
        <v>2198.94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640161.5613570218</v>
      </c>
      <c r="D14" s="20">
        <f>'DOE25'!L206+'DOE25'!L224+'DOE25'!L242-F14-G14</f>
        <v>635629.52135702176</v>
      </c>
      <c r="E14" s="243"/>
      <c r="F14" s="255">
        <f>'DOE25'!J206+'DOE25'!J224+'DOE25'!J242</f>
        <v>4532.04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450436.64</v>
      </c>
      <c r="D15" s="20">
        <f>'DOE25'!L207+'DOE25'!L225+'DOE25'!L243-F15-G15</f>
        <v>450436.64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442843.19999999995</v>
      </c>
      <c r="D25" s="243"/>
      <c r="E25" s="243"/>
      <c r="F25" s="258"/>
      <c r="G25" s="256"/>
      <c r="H25" s="257">
        <f>'DOE25'!L259+'DOE25'!L260+'DOE25'!L340+'DOE25'!L341</f>
        <v>442843.19999999995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87339.020000000019</v>
      </c>
      <c r="D29" s="20">
        <f>'DOE25'!L357+'DOE25'!L358+'DOE25'!L359-'DOE25'!I366-F29-G29</f>
        <v>87339.020000000019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226640.33</v>
      </c>
      <c r="D31" s="20">
        <f>'DOE25'!L289+'DOE25'!L308+'DOE25'!L327+'DOE25'!L332+'DOE25'!L333+'DOE25'!L334-F31-G31</f>
        <v>226640.33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7979293.8000000007</v>
      </c>
      <c r="E33" s="246">
        <f>SUM(E5:E31)</f>
        <v>202607.24999999994</v>
      </c>
      <c r="F33" s="246">
        <f>SUM(F5:F31)</f>
        <v>29722.630000000005</v>
      </c>
      <c r="G33" s="246">
        <f>SUM(G5:G31)</f>
        <v>3341.44</v>
      </c>
      <c r="H33" s="246">
        <f>SUM(H5:H31)</f>
        <v>442843.19999999995</v>
      </c>
    </row>
    <row r="35" spans="2:8" ht="12" thickBot="1" x14ac:dyDescent="0.25">
      <c r="B35" s="253" t="s">
        <v>847</v>
      </c>
      <c r="D35" s="254">
        <f>E33</f>
        <v>202607.24999999994</v>
      </c>
      <c r="E35" s="249"/>
    </row>
    <row r="36" spans="2:8" ht="12" thickTop="1" x14ac:dyDescent="0.2">
      <c r="B36" t="s">
        <v>815</v>
      </c>
      <c r="D36" s="20">
        <f>D33</f>
        <v>7979293.8000000007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197077.53</v>
      </c>
      <c r="D8" s="95">
        <f>'DOE25'!G9</f>
        <v>21605.73</v>
      </c>
      <c r="E8" s="95">
        <f>'DOE25'!H9</f>
        <v>0</v>
      </c>
      <c r="F8" s="95">
        <f>'DOE25'!I9</f>
        <v>8575.5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386.6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325.01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11155.76</v>
      </c>
      <c r="D12" s="95">
        <f>'DOE25'!G13</f>
        <v>7496.14</v>
      </c>
      <c r="E12" s="95">
        <f>'DOE25'!H13</f>
        <v>69109.23</v>
      </c>
      <c r="F12" s="95">
        <f>'DOE25'!I13</f>
        <v>0</v>
      </c>
      <c r="G12" s="95">
        <f>'DOE25'!J13</f>
        <v>84988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4533.7299999999996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28748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241901.62000000002</v>
      </c>
      <c r="D18" s="41">
        <f>SUM(D8:D17)</f>
        <v>29426.879999999997</v>
      </c>
      <c r="E18" s="41">
        <f>SUM(E8:E17)</f>
        <v>69109.23</v>
      </c>
      <c r="F18" s="41">
        <f>SUM(F8:F17)</f>
        <v>8575.5</v>
      </c>
      <c r="G18" s="41">
        <f>SUM(G8:G17)</f>
        <v>84988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60134</v>
      </c>
      <c r="F21" s="95">
        <f>'DOE25'!I22</f>
        <v>0</v>
      </c>
      <c r="G21" s="95">
        <f>'DOE25'!J22</f>
        <v>21977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11552.99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87346.98</v>
      </c>
      <c r="D23" s="95">
        <f>'DOE25'!G24</f>
        <v>717.81</v>
      </c>
      <c r="E23" s="95">
        <f>'DOE25'!H24</f>
        <v>8975.23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24894.240000000002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32510.14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2448</v>
      </c>
      <c r="D29" s="95">
        <f>'DOE25'!G30</f>
        <v>4614.59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6470.53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165222.88</v>
      </c>
      <c r="D31" s="41">
        <f>SUM(D21:D30)</f>
        <v>5332.4</v>
      </c>
      <c r="E31" s="41">
        <f>SUM(E21:E30)</f>
        <v>69109.23</v>
      </c>
      <c r="F31" s="41">
        <f>SUM(F21:F30)</f>
        <v>0</v>
      </c>
      <c r="G31" s="41">
        <f>SUM(G21:G30)</f>
        <v>21977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28748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8575.5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13737</v>
      </c>
      <c r="D46" s="95">
        <f>'DOE25'!G47</f>
        <v>24094.48</v>
      </c>
      <c r="E46" s="95">
        <f>'DOE25'!H47</f>
        <v>0</v>
      </c>
      <c r="F46" s="95">
        <f>'DOE25'!I47</f>
        <v>0</v>
      </c>
      <c r="G46" s="95">
        <f>'DOE25'!J47</f>
        <v>63011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34193.74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76678.739999999991</v>
      </c>
      <c r="D49" s="41">
        <f>SUM(D34:D48)</f>
        <v>24094.48</v>
      </c>
      <c r="E49" s="41">
        <f>SUM(E34:E48)</f>
        <v>0</v>
      </c>
      <c r="F49" s="41">
        <f>SUM(F34:F48)</f>
        <v>8575.5</v>
      </c>
      <c r="G49" s="41">
        <f>SUM(G34:G48)</f>
        <v>63011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241901.62</v>
      </c>
      <c r="D50" s="41">
        <f>D49+D31</f>
        <v>29426.879999999997</v>
      </c>
      <c r="E50" s="41">
        <f>E49+E31</f>
        <v>69109.23</v>
      </c>
      <c r="F50" s="41">
        <f>F49+F31</f>
        <v>8575.5</v>
      </c>
      <c r="G50" s="41">
        <f>G49+G31</f>
        <v>84988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5156644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38112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1529.29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119555.77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23006.25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62647.54</v>
      </c>
      <c r="D61" s="130">
        <f>SUM(D56:D60)</f>
        <v>119555.77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5219291.54</v>
      </c>
      <c r="D62" s="22">
        <f>D55+D61</f>
        <v>119555.77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2061625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613532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2675157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74032.149999999994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36399.919999999998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2251.7399999999998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110432.06999999999</v>
      </c>
      <c r="D77" s="130">
        <f>SUM(D71:D76)</f>
        <v>2251.7399999999998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2785589.07</v>
      </c>
      <c r="D80" s="130">
        <f>SUM(D78:D79)+D77+D69</f>
        <v>2251.7399999999998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52407.33</v>
      </c>
      <c r="D87" s="95">
        <f>SUM('DOE25'!G152:G160)</f>
        <v>42122.729999999996</v>
      </c>
      <c r="E87" s="95">
        <f>SUM('DOE25'!H152:H160)</f>
        <v>226640.33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52407.33</v>
      </c>
      <c r="D90" s="131">
        <f>SUM(D84:D89)</f>
        <v>42122.729999999996</v>
      </c>
      <c r="E90" s="131">
        <f>SUM(E84:E89)</f>
        <v>226640.33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408500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4356.2299999999996</v>
      </c>
      <c r="E95" s="95">
        <f>'DOE25'!H178</f>
        <v>0</v>
      </c>
      <c r="F95" s="95">
        <f>'DOE25'!I178</f>
        <v>0</v>
      </c>
      <c r="G95" s="95">
        <f>'DOE25'!J178</f>
        <v>10000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4356.2299999999996</v>
      </c>
      <c r="E102" s="86">
        <f>SUM(E92:E101)</f>
        <v>0</v>
      </c>
      <c r="F102" s="86">
        <f>SUM(F92:F101)</f>
        <v>408500</v>
      </c>
      <c r="G102" s="86">
        <f>SUM(G92:G101)</f>
        <v>10000</v>
      </c>
    </row>
    <row r="103" spans="1:7" ht="12.75" thickTop="1" thickBot="1" x14ac:dyDescent="0.25">
      <c r="A103" s="33" t="s">
        <v>765</v>
      </c>
      <c r="C103" s="86">
        <f>C62+C80+C90+C102</f>
        <v>8057287.9399999995</v>
      </c>
      <c r="D103" s="86">
        <f>D62+D80+D90+D102</f>
        <v>168286.47</v>
      </c>
      <c r="E103" s="86">
        <f>E62+E80+E90+E102</f>
        <v>226640.33</v>
      </c>
      <c r="F103" s="86">
        <f>F62+F80+F90+F102</f>
        <v>408500</v>
      </c>
      <c r="G103" s="86">
        <f>G62+G80+G102</f>
        <v>10000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3466864.475830364</v>
      </c>
      <c r="D108" s="24" t="s">
        <v>289</v>
      </c>
      <c r="E108" s="95">
        <f>('DOE25'!L275)+('DOE25'!L294)+('DOE25'!L313)</f>
        <v>41321.089999999997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1442197.4590910517</v>
      </c>
      <c r="D109" s="24" t="s">
        <v>289</v>
      </c>
      <c r="E109" s="95">
        <f>('DOE25'!L276)+('DOE25'!L295)+('DOE25'!L314)</f>
        <v>138631.28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4909061.9349214155</v>
      </c>
      <c r="D114" s="86">
        <f>SUM(D108:D113)</f>
        <v>0</v>
      </c>
      <c r="E114" s="86">
        <f>SUM(E108:E113)</f>
        <v>179952.37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878130.65864983539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154934.28606904839</v>
      </c>
      <c r="D118" s="24" t="s">
        <v>289</v>
      </c>
      <c r="E118" s="95">
        <f>+('DOE25'!L281)+('DOE25'!L300)+('DOE25'!L319)</f>
        <v>42795.96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282125.07999999996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577535.60900267831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640161.5613570218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450436.64</v>
      </c>
      <c r="D123" s="24" t="s">
        <v>289</v>
      </c>
      <c r="E123" s="95">
        <f>+('DOE25'!L286)+('DOE25'!L305)+('DOE25'!L324)</f>
        <v>3892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161745.27000000002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2983323.835078584</v>
      </c>
      <c r="D127" s="86">
        <f>SUM(D117:D126)</f>
        <v>161745.27000000002</v>
      </c>
      <c r="E127" s="86">
        <f>SUM(E117:E126)</f>
        <v>46687.96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399924.5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217854.84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224988.36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4356.2299999999996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457199.42999999993</v>
      </c>
      <c r="D143" s="141">
        <f>SUM(D129:D142)</f>
        <v>0</v>
      </c>
      <c r="E143" s="141">
        <f>SUM(E129:E142)</f>
        <v>0</v>
      </c>
      <c r="F143" s="141">
        <f>SUM(F129:F142)</f>
        <v>399924.5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8349585.1999999993</v>
      </c>
      <c r="D144" s="86">
        <f>(D114+D127+D143)</f>
        <v>161745.27000000002</v>
      </c>
      <c r="E144" s="86">
        <f>(E114+E127+E143)</f>
        <v>226640.33</v>
      </c>
      <c r="F144" s="86">
        <f>(F114+F127+F143)</f>
        <v>399924.5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08/99</v>
      </c>
      <c r="C151" s="152" t="str">
        <f>'DOE25'!G490</f>
        <v>08/12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08/19</v>
      </c>
      <c r="C152" s="152" t="str">
        <f>'DOE25'!G491</f>
        <v>08/22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5367912</v>
      </c>
      <c r="C153" s="137">
        <f>'DOE25'!G492</f>
        <v>386400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2.3216000000000001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1447368</v>
      </c>
      <c r="C155" s="137">
        <f>'DOE25'!G494</f>
        <v>386400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1833768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217855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217855</v>
      </c>
    </row>
    <row r="158" spans="1:9" x14ac:dyDescent="0.2">
      <c r="A158" s="22" t="s">
        <v>35</v>
      </c>
      <c r="B158" s="137">
        <f>'DOE25'!F497</f>
        <v>1223513</v>
      </c>
      <c r="C158" s="137">
        <f>'DOE25'!G497</f>
        <v>345000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1568513</v>
      </c>
    </row>
    <row r="159" spans="1:9" x14ac:dyDescent="0.2">
      <c r="A159" s="22" t="s">
        <v>36</v>
      </c>
      <c r="B159" s="137">
        <f>'DOE25'!F498</f>
        <v>1793462</v>
      </c>
      <c r="C159" s="137">
        <f>'DOE25'!G498</f>
        <v>65471.3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1858933.3</v>
      </c>
    </row>
    <row r="160" spans="1:9" x14ac:dyDescent="0.2">
      <c r="A160" s="22" t="s">
        <v>37</v>
      </c>
      <c r="B160" s="137">
        <f>'DOE25'!F499</f>
        <v>3016975</v>
      </c>
      <c r="C160" s="137">
        <f>'DOE25'!G499</f>
        <v>410471.3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3427446.3</v>
      </c>
    </row>
    <row r="161" spans="1:7" x14ac:dyDescent="0.2">
      <c r="A161" s="22" t="s">
        <v>38</v>
      </c>
      <c r="B161" s="137">
        <f>'DOE25'!F500</f>
        <v>206654</v>
      </c>
      <c r="C161" s="137">
        <f>'DOE25'!G500</f>
        <v>41400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248054</v>
      </c>
    </row>
    <row r="162" spans="1:7" x14ac:dyDescent="0.2">
      <c r="A162" s="22" t="s">
        <v>39</v>
      </c>
      <c r="B162" s="137">
        <f>'DOE25'!F501</f>
        <v>223165</v>
      </c>
      <c r="C162" s="137">
        <f>'DOE25'!G501</f>
        <v>12321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235486</v>
      </c>
    </row>
    <row r="163" spans="1:7" x14ac:dyDescent="0.2">
      <c r="A163" s="22" t="s">
        <v>246</v>
      </c>
      <c r="B163" s="137">
        <f>'DOE25'!F502</f>
        <v>429819</v>
      </c>
      <c r="C163" s="137">
        <f>'DOE25'!G502</f>
        <v>53721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483540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3" sqref="A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Brookline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13101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13101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3508186</v>
      </c>
      <c r="D10" s="182">
        <f>ROUND((C10/$C$28)*100,1)</f>
        <v>41.8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1580829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878131</v>
      </c>
      <c r="D15" s="182">
        <f t="shared" ref="D15:D27" si="0">ROUND((C15/$C$28)*100,1)</f>
        <v>10.5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197730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282125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577536</v>
      </c>
      <c r="D18" s="182">
        <f t="shared" si="0"/>
        <v>6.9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640162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454329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224988</v>
      </c>
      <c r="D25" s="182">
        <f t="shared" si="0"/>
        <v>2.7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42189.229999999996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8386205.2300000004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399925</v>
      </c>
    </row>
    <row r="30" spans="1:4" x14ac:dyDescent="0.2">
      <c r="B30" s="187" t="s">
        <v>729</v>
      </c>
      <c r="C30" s="180">
        <f>SUM(C28:C29)</f>
        <v>8786130.2300000004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217855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5156644</v>
      </c>
      <c r="D35" s="182">
        <f t="shared" ref="D35:D40" si="1">ROUND((C35/$C$41)*100,1)</f>
        <v>61.8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84747.540000000037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2675157</v>
      </c>
      <c r="D37" s="182">
        <f t="shared" si="1"/>
        <v>32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112684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321170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8350402.54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386400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Brookline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2013-10-01T13:58:56Z</cp:lastPrinted>
  <dcterms:created xsi:type="dcterms:W3CDTF">1997-12-04T19:04:30Z</dcterms:created>
  <dcterms:modified xsi:type="dcterms:W3CDTF">2013-10-29T14:14:53Z</dcterms:modified>
</cp:coreProperties>
</file>