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C13" i="10" s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0" i="10"/>
  <c r="C11" i="10"/>
  <c r="C12" i="10"/>
  <c r="C15" i="10"/>
  <c r="C16" i="10"/>
  <c r="C17" i="10"/>
  <c r="C18" i="10"/>
  <c r="C19" i="10"/>
  <c r="C20" i="10"/>
  <c r="C21" i="10"/>
  <c r="L249" i="1"/>
  <c r="L331" i="1"/>
  <c r="C23" i="10" s="1"/>
  <c r="L253" i="1"/>
  <c r="C25" i="10"/>
  <c r="L267" i="1"/>
  <c r="L268" i="1"/>
  <c r="L348" i="1"/>
  <c r="L349" i="1"/>
  <c r="I664" i="1"/>
  <c r="I669" i="1"/>
  <c r="L228" i="1"/>
  <c r="L246" i="1"/>
  <c r="F660" i="1"/>
  <c r="I660" i="1" s="1"/>
  <c r="G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G551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D144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J256" i="1" s="1"/>
  <c r="J270" i="1" s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G633" i="1" s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L418" i="1" s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H641" i="1" s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K544" i="1" s="1"/>
  <c r="L523" i="1"/>
  <c r="F528" i="1"/>
  <c r="G528" i="1"/>
  <c r="H528" i="1"/>
  <c r="I528" i="1"/>
  <c r="I544" i="1" s="1"/>
  <c r="J528" i="1"/>
  <c r="K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7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G638" i="1"/>
  <c r="H638" i="1"/>
  <c r="G639" i="1"/>
  <c r="H639" i="1"/>
  <c r="G640" i="1"/>
  <c r="H640" i="1"/>
  <c r="G642" i="1"/>
  <c r="H642" i="1"/>
  <c r="G643" i="1"/>
  <c r="H643" i="1"/>
  <c r="J643" i="1" s="1"/>
  <c r="G644" i="1"/>
  <c r="H644" i="1"/>
  <c r="H646" i="1"/>
  <c r="G648" i="1"/>
  <c r="J648" i="1" s="1"/>
  <c r="G649" i="1"/>
  <c r="G650" i="1"/>
  <c r="G651" i="1"/>
  <c r="H651" i="1"/>
  <c r="G652" i="1"/>
  <c r="H652" i="1"/>
  <c r="G653" i="1"/>
  <c r="H653" i="1"/>
  <c r="H654" i="1"/>
  <c r="F191" i="1"/>
  <c r="L255" i="1"/>
  <c r="K256" i="1"/>
  <c r="K270" i="1" s="1"/>
  <c r="G163" i="2"/>
  <c r="G159" i="2"/>
  <c r="C18" i="2"/>
  <c r="F31" i="2"/>
  <c r="C26" i="10"/>
  <c r="L327" i="1"/>
  <c r="H659" i="1" s="1"/>
  <c r="H663" i="1" s="1"/>
  <c r="L350" i="1"/>
  <c r="I661" i="1"/>
  <c r="L289" i="1"/>
  <c r="A31" i="12"/>
  <c r="C69" i="2"/>
  <c r="A40" i="12"/>
  <c r="D12" i="13"/>
  <c r="C12" i="13" s="1"/>
  <c r="G161" i="2"/>
  <c r="D61" i="2"/>
  <c r="D62" i="2" s="1"/>
  <c r="E49" i="2"/>
  <c r="D18" i="13"/>
  <c r="C18" i="13" s="1"/>
  <c r="D15" i="13"/>
  <c r="C15" i="13" s="1"/>
  <c r="D7" i="13"/>
  <c r="C7" i="13" s="1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77" i="2"/>
  <c r="D49" i="2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E77" i="2"/>
  <c r="E80" i="2" s="1"/>
  <c r="L426" i="1"/>
  <c r="H111" i="1"/>
  <c r="F111" i="1"/>
  <c r="J640" i="1"/>
  <c r="J638" i="1"/>
  <c r="K604" i="1"/>
  <c r="G647" i="1" s="1"/>
  <c r="J570" i="1"/>
  <c r="K570" i="1"/>
  <c r="L432" i="1"/>
  <c r="D80" i="2"/>
  <c r="I168" i="1"/>
  <c r="H168" i="1"/>
  <c r="E50" i="2"/>
  <c r="J642" i="1"/>
  <c r="J475" i="1"/>
  <c r="H625" i="1" s="1"/>
  <c r="H475" i="1"/>
  <c r="H623" i="1" s="1"/>
  <c r="J623" i="1" s="1"/>
  <c r="F475" i="1"/>
  <c r="H621" i="1" s="1"/>
  <c r="I475" i="1"/>
  <c r="H624" i="1" s="1"/>
  <c r="J624" i="1" s="1"/>
  <c r="G475" i="1"/>
  <c r="H622" i="1" s="1"/>
  <c r="J622" i="1" s="1"/>
  <c r="G337" i="1"/>
  <c r="G351" i="1" s="1"/>
  <c r="F168" i="1"/>
  <c r="J139" i="1"/>
  <c r="F570" i="1"/>
  <c r="I551" i="1"/>
  <c r="K549" i="1"/>
  <c r="G22" i="2"/>
  <c r="J551" i="1"/>
  <c r="H551" i="1"/>
  <c r="C29" i="10"/>
  <c r="H139" i="1"/>
  <c r="L400" i="1"/>
  <c r="C138" i="2" s="1"/>
  <c r="L392" i="1"/>
  <c r="F22" i="13"/>
  <c r="C22" i="13" s="1"/>
  <c r="H25" i="13"/>
  <c r="C25" i="13" s="1"/>
  <c r="J650" i="1"/>
  <c r="J639" i="1"/>
  <c r="H570" i="1"/>
  <c r="L559" i="1"/>
  <c r="J544" i="1"/>
  <c r="H337" i="1"/>
  <c r="H351" i="1" s="1"/>
  <c r="F337" i="1"/>
  <c r="F351" i="1" s="1"/>
  <c r="G191" i="1"/>
  <c r="H191" i="1"/>
  <c r="E127" i="2"/>
  <c r="E144" i="2" s="1"/>
  <c r="F551" i="1"/>
  <c r="C35" i="10"/>
  <c r="L308" i="1"/>
  <c r="D5" i="13"/>
  <c r="C5" i="13" s="1"/>
  <c r="E16" i="13"/>
  <c r="C49" i="2"/>
  <c r="J654" i="1"/>
  <c r="J644" i="1"/>
  <c r="L569" i="1"/>
  <c r="I570" i="1"/>
  <c r="J635" i="1"/>
  <c r="G36" i="2"/>
  <c r="L564" i="1"/>
  <c r="G544" i="1"/>
  <c r="H544" i="1"/>
  <c r="K550" i="1"/>
  <c r="C137" i="2"/>
  <c r="C16" i="13"/>
  <c r="H33" i="13"/>
  <c r="A13" i="12" l="1"/>
  <c r="E33" i="13"/>
  <c r="D35" i="13" s="1"/>
  <c r="K597" i="1"/>
  <c r="G646" i="1" s="1"/>
  <c r="J646" i="1" s="1"/>
  <c r="K548" i="1"/>
  <c r="L528" i="1"/>
  <c r="L544" i="1" s="1"/>
  <c r="K551" i="1"/>
  <c r="K502" i="1"/>
  <c r="I445" i="1"/>
  <c r="G641" i="1" s="1"/>
  <c r="J641" i="1" s="1"/>
  <c r="J633" i="1"/>
  <c r="I256" i="1"/>
  <c r="I270" i="1" s="1"/>
  <c r="H256" i="1"/>
  <c r="H270" i="1" s="1"/>
  <c r="G256" i="1"/>
  <c r="G270" i="1" s="1"/>
  <c r="F256" i="1"/>
  <c r="F270" i="1" s="1"/>
  <c r="L210" i="1"/>
  <c r="F659" i="1" s="1"/>
  <c r="F663" i="1" s="1"/>
  <c r="F671" i="1" s="1"/>
  <c r="C4" i="10" s="1"/>
  <c r="C117" i="2"/>
  <c r="C127" i="2" s="1"/>
  <c r="C80" i="2"/>
  <c r="J621" i="1"/>
  <c r="C50" i="2"/>
  <c r="J616" i="1"/>
  <c r="L337" i="1"/>
  <c r="L351" i="1" s="1"/>
  <c r="G632" i="1" s="1"/>
  <c r="J632" i="1" s="1"/>
  <c r="C24" i="10"/>
  <c r="G659" i="1"/>
  <c r="G663" i="1" s="1"/>
  <c r="G666" i="1" s="1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H666" i="1"/>
  <c r="H671" i="1"/>
  <c r="C6" i="10" s="1"/>
  <c r="F31" i="13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42" i="2"/>
  <c r="J50" i="1"/>
  <c r="G16" i="2"/>
  <c r="J19" i="1"/>
  <c r="G620" i="1" s="1"/>
  <c r="F33" i="13"/>
  <c r="D31" i="13"/>
  <c r="C31" i="13" s="1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G49" i="2"/>
  <c r="G50" i="2" s="1"/>
  <c r="H647" i="1"/>
  <c r="J647" i="1" s="1"/>
  <c r="C103" i="2"/>
  <c r="J651" i="1"/>
  <c r="G570" i="1"/>
  <c r="I433" i="1"/>
  <c r="G433" i="1"/>
  <c r="E103" i="2"/>
  <c r="I662" i="1"/>
  <c r="C27" i="10"/>
  <c r="G634" i="1"/>
  <c r="J634" i="1" s="1"/>
  <c r="H645" i="1" l="1"/>
  <c r="G671" i="1"/>
  <c r="C5" i="10" s="1"/>
  <c r="C28" i="10"/>
  <c r="L256" i="1"/>
  <c r="L270" i="1" s="1"/>
  <c r="G631" i="1" s="1"/>
  <c r="J631" i="1" s="1"/>
  <c r="I659" i="1"/>
  <c r="F666" i="1"/>
  <c r="C144" i="2"/>
  <c r="G630" i="1"/>
  <c r="J630" i="1" s="1"/>
  <c r="I663" i="1"/>
  <c r="I671" i="1" s="1"/>
  <c r="C7" i="10" s="1"/>
  <c r="D33" i="13"/>
  <c r="D36" i="13" s="1"/>
  <c r="J645" i="1"/>
  <c r="G192" i="1"/>
  <c r="G627" i="1" s="1"/>
  <c r="J627" i="1" s="1"/>
  <c r="G625" i="1"/>
  <c r="J625" i="1" s="1"/>
  <c r="J51" i="1"/>
  <c r="H620" i="1" s="1"/>
  <c r="J620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6" i="1" l="1"/>
  <c r="H655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<sst xmlns="http://schemas.openxmlformats.org/spreadsheetml/2006/main" count="3947" uniqueCount="912">
  <si>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</si>
  <si>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</si>
  <si>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</si>
  <si>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</si>
  <si>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</si>
  <si>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</si>
  <si>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</si>
  <si>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</si>
  <si>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</si>
  <si>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</si>
  <si>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</si>
  <si>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</si>
  <si>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</si>
  <si>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</si>
  <si>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</si>
  <si>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</si>
  <si>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</si>
  <si>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</si>
  <si>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</si>
  <si>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</si>
  <si>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</si>
  <si>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</si>
  <si>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</si>
  <si>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</si>
  <si>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</si>
  <si>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</si>
  <si>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</si>
  <si>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</si>
  <si>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</si>
  <si>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</si>
  <si>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</si>
  <si>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</si>
  <si>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</si>
  <si>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</si>
  <si>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</si>
  <si>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</si>
  <si>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</si>
  <si>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</si>
  <si>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</si>
  <si>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</si>
  <si>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</si>
  <si>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</si>
  <si>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</si>
  <si>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</si>
  <si>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</si>
  <si>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</si>
  <si>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</si>
  <si>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</si>
  <si>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</si>
  <si>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</si>
  <si>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</si>
  <si>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</si>
  <si>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</si>
  <si>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</si>
  <si>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</si>
  <si>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</si>
  <si>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</si>
  <si>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</si>
  <si>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</si>
  <si>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</si>
  <si>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</si>
  <si>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</si>
  <si>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</si>
  <si>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</si>
  <si>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</si>
  <si>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</si>
  <si>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</si>
  <si>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</si>
  <si>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</si>
  <si>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</si>
  <si>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</si>
  <si>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</si>
  <si>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</si>
  <si>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</si>
  <si>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</si>
  <si>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</si>
  <si>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</si>
  <si>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</si>
  <si>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</si>
  <si>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</si>
  <si>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</si>
  <si>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</si>
  <si>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</si>
  <si>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</si>
  <si>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</si>
  <si>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</si>
  <si>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</si>
  <si>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</si>
  <si>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</si>
  <si>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</si>
  <si>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</si>
  <si>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</si>
  <si>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</si>
  <si>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</si>
  <si>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</si>
  <si>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</si>
  <si>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</si>
  <si>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</si>
  <si>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</si>
  <si>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</si>
  <si>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</si>
  <si>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</si>
  <si>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</si>
  <si>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</si>
  <si>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</si>
  <si>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</si>
  <si>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</si>
  <si>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</si>
  <si>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</si>
  <si>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</si>
  <si>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</si>
  <si>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</si>
  <si>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</si>
  <si>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</si>
  <si>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</si>
  <si>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</si>
  <si>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</si>
  <si>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</si>
  <si>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</si>
  <si>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</si>
  <si>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</si>
  <si>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</si>
  <si>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</si>
  <si>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</si>
  <si>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</si>
  <si>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</si>
  <si>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</si>
  <si>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</si>
  <si>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</si>
  <si>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</si>
  <si>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</si>
  <si>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</si>
  <si>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</si>
  <si>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</si>
  <si>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</si>
  <si>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</si>
  <si>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</si>
  <si>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</si>
  <si>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</si>
  <si>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</si>
  <si>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</si>
  <si>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</si>
  <si>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</si>
  <si>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</si>
  <si>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</si>
  <si>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</si>
  <si>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</si>
  <si>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</si>
  <si>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</si>
  <si>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</si>
  <si>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</si>
  <si>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</si>
  <si>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</si>
  <si>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</si>
  <si>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</si>
  <si>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</si>
  <si>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</si>
  <si>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</si>
  <si>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</si>
  <si>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</si>
  <si>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</si>
  <si>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</si>
  <si>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</si>
  <si>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</si>
  <si>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</si>
  <si>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</si>
  <si>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</si>
  <si>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</si>
  <si>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</si>
  <si>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</si>
  <si>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</si>
  <si>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</si>
  <si>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</si>
  <si>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</si>
  <si>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</si>
  <si>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</si>
  <si>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</si>
  <si>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</si>
  <si>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</si>
  <si>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</si>
  <si>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</si>
  <si>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</si>
  <si>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</si>
  <si>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</si>
  <si>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</si>
  <si>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</si>
  <si>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</si>
  <si>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</si>
  <si>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</si>
  <si>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</si>
  <si>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</si>
  <si>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</si>
  <si>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</si>
  <si>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</si>
  <si>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</si>
  <si>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</si>
  <si>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</si>
  <si>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</si>
  <si>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</si>
  <si>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</si>
  <si>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</si>
  <si>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</si>
  <si>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</si>
  <si>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</si>
  <si>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</si>
  <si>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</si>
  <si>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</si>
  <si>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</si>
  <si>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</si>
  <si>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</si>
  <si>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</si>
  <si>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</si>
  <si>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</si>
  <si>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</si>
  <si>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</si>
  <si>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</si>
  <si>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</si>
  <si>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</si>
  <si>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</si>
  <si>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</si>
  <si>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</si>
  <si>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</si>
  <si>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</si>
  <si>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</si>
  <si>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</si>
  <si>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</si>
  <si>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</si>
  <si>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</si>
  <si>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</si>
  <si>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</si>
  <si>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</si>
  <si>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</si>
  <si>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</si>
  <si>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</si>
  <si>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</si>
  <si>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</si>
  <si>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</si>
  <si>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</si>
  <si>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</si>
  <si>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</si>
  <si>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</si>
  <si>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</si>
  <si>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</si>
  <si>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</si>
  <si>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</si>
  <si>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</si>
  <si>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</si>
  <si>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</si>
  <si>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</si>
  <si>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</si>
  <si>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</si>
  <si>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</si>
  <si>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</si>
  <si>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</si>
  <si>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</si>
  <si>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</si>
  <si>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</si>
  <si>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</si>
  <si>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</si>
  <si>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</si>
  <si>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</si>
  <si>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</si>
  <si>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</si>
  <si>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</si>
  <si>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</si>
  <si>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</si>
  <si>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</si>
  <si>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</si>
  <si>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</si>
  <si>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</si>
  <si>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</si>
  <si>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</si>
  <si>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</si>
  <si>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</si>
  <si>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</si>
  <si>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</si>
  <si>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</si>
  <si>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</si>
  <si>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</si>
  <si>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</si>
  <si>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</si>
  <si>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</si>
  <si>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</si>
  <si>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</si>
  <si>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</si>
  <si>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</si>
  <si>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</si>
  <si>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</si>
  <si>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</si>
  <si>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</si>
  <si>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</si>
  <si>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</si>
  <si>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</si>
  <si>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</si>
  <si>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</si>
  <si>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</si>
  <si>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</si>
  <si>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</si>
  <si>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</si>
  <si>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</si>
  <si>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</si>
  <si>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</si>
  <si>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</si>
  <si>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</si>
  <si>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</si>
  <si>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</si>
  <si>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</si>
  <si>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</si>
  <si>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</si>
  <si>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</si>
  <si>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</si>
  <si>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</si>
  <si>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</si>
  <si>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</si>
  <si>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</si>
  <si>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</si>
  <si>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</si>
  <si>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</si>
  <si>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</si>
  <si>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</si>
  <si>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</si>
  <si>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</si>
  <si>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</si>
  <si>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</si>
  <si>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</si>
  <si>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</si>
  <si>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</si>
  <si>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</si>
  <si>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</si>
  <si>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</si>
  <si>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</si>
  <si>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</si>
  <si>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</si>
  <si>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</si>
  <si>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</si>
  <si>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</si>
  <si>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</si>
  <si>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</si>
  <si>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</si>
  <si>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</si>
  <si>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</si>
  <si>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</si>
  <si>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</si>
  <si>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</si>
  <si>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</si>
  <si>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</si>
  <si>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</si>
  <si>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</si>
  <si>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</si>
  <si>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</si>
  <si>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</si>
  <si>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</si>
  <si>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</si>
  <si>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</si>
  <si>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</si>
  <si>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</si>
  <si>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</si>
  <si>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</si>
  <si>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</si>
  <si>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</si>
  <si>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</si>
  <si>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</si>
  <si>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</si>
  <si>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</si>
  <si>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</si>
  <si>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</si>
  <si>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</si>
  <si>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</si>
  <si>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</si>
  <si>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</si>
  <si>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</si>
  <si>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</si>
  <si>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</si>
  <si>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</si>
  <si>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</si>
  <si>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</si>
  <si>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</si>
  <si>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</si>
  <si>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</si>
  <si>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</si>
  <si>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</si>
  <si>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</si>
  <si>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</si>
  <si>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</si>
  <si>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</si>
  <si>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</si>
  <si>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</si>
  <si>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</si>
  <si>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</si>
  <si>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</si>
  <si>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</si>
  <si>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</si>
  <si>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</si>
  <si>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</si>
  <si>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</si>
  <si>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</si>
  <si>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</si>
  <si>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</si>
  <si>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</si>
  <si>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</si>
  <si>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</si>
  <si>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</si>
  <si>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</si>
  <si>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</si>
  <si>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</si>
  <si>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</si>
  <si>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</si>
  <si>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</si>
  <si>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</si>
  <si>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</si>
  <si>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</si>
  <si>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</si>
  <si>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</si>
  <si>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</si>
  <si>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</si>
  <si>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</si>
  <si>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</si>
  <si>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</si>
  <si>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</si>
  <si>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</si>
  <si>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</si>
  <si>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</si>
  <si>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</si>
  <si>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</si>
  <si>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</si>
  <si>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</si>
  <si>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</si>
  <si>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</si>
  <si>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</si>
  <si>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</si>
  <si>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</si>
  <si>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</si>
  <si>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</si>
  <si>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</si>
  <si>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</si>
  <si>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</si>
  <si>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</si>
  <si>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</si>
  <si>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</si>
  <si>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</si>
  <si>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</si>
  <si>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</si>
  <si>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</si>
  <si>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</si>
  <si>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</si>
  <si>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</si>
  <si>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</si>
  <si>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</si>
  <si>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</si>
  <si>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</si>
  <si>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</si>
  <si>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</si>
  <si>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</si>
  <si>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</si>
  <si>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</si>
  <si>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</si>
  <si>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</si>
  <si>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</si>
  <si>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</si>
  <si>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</si>
  <si>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</si>
  <si>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</si>
  <si>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</si>
  <si>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</si>
  <si>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</si>
  <si>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</si>
  <si>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</si>
  <si>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</si>
  <si>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</si>
  <si>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</si>
  <si>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</si>
  <si>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</si>
  <si>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</si>
  <si>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</si>
  <si>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</si>
  <si>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</si>
  <si>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</si>
  <si>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</si>
  <si>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</si>
  <si>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</si>
  <si>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</si>
  <si>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</si>
  <si>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</si>
  <si>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</si>
  <si>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</si>
  <si>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</si>
  <si>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</si>
  <si>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</si>
  <si>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</si>
  <si>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</si>
  <si>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</si>
  <si>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</si>
  <si>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</si>
  <si>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</si>
  <si>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</si>
  <si>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</si>
  <si>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</si>
  <si>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</si>
  <si>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</si>
  <si>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</si>
  <si>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</si>
  <si>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</si>
  <si>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</si>
  <si>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</si>
  <si>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</si>
  <si>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</si>
  <si>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</si>
  <si>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</si>
  <si>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</si>
  <si>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</si>
  <si>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</si>
  <si>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</si>
  <si>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</si>
  <si>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</si>
  <si>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</si>
  <si>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</si>
  <si>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</si>
  <si>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</si>
  <si>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</si>
  <si>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</si>
  <si>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</si>
  <si>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</si>
  <si>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</si>
  <si>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</si>
  <si>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</si>
  <si>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</si>
  <si>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</si>
  <si>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</si>
  <si>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</si>
  <si>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</si>
  <si>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</si>
  <si>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</si>
  <si>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</si>
  <si>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</si>
  <si>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</si>
  <si>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</si>
  <si>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</si>
  <si>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</si>
  <si>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</si>
  <si>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</si>
  <si>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</si>
  <si>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</si>
  <si>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</si>
  <si>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</si>
  <si>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</si>
  <si>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</si>
  <si>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</si>
  <si>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</si>
  <si>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</si>
  <si>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</si>
  <si>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</si>
  <si>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</si>
  <si>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</si>
  <si>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</si>
  <si>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</si>
  <si>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</si>
  <si>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</si>
  <si>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</si>
  <si>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</si>
  <si>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</si>
  <si>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</si>
  <si>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</si>
  <si>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</si>
  <si>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</si>
  <si>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</si>
  <si>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</si>
  <si>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</si>
  <si>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</si>
  <si>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</si>
  <si>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</si>
  <si>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</si>
  <si>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</si>
  <si>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</si>
  <si>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</si>
  <si>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</si>
  <si>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</si>
  <si>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</si>
  <si>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</si>
  <si>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</si>
  <si>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</si>
  <si>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</si>
  <si>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</si>
  <si>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</si>
  <si>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</si>
  <si>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</si>
  <si>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</si>
  <si>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</si>
  <si>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</si>
  <si>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</si>
  <si>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</si>
  <si>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</si>
  <si>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</si>
  <si>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</si>
  <si>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</si>
  <si>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</si>
  <si>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</si>
  <si>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</si>
  <si>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</si>
  <si>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</si>
  <si>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</si>
  <si>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</si>
  <si>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</si>
  <si>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</si>
  <si>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</si>
  <si>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</si>
  <si>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</si>
  <si>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</si>
  <si>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</si>
  <si>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</si>
  <si>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</si>
  <si>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</si>
  <si>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</si>
  <si>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</si>
  <si>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</si>
  <si>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</si>
  <si>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</si>
  <si>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</si>
  <si>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</si>
  <si>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</si>
  <si>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</si>
  <si>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</si>
  <si>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</si>
  <si>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</si>
  <si>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</si>
  <si>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</si>
  <si>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</si>
  <si>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</si>
  <si>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</si>
  <si>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</si>
  <si>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</si>
  <si>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</si>
  <si>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</si>
  <si>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</si>
  <si>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</si>
  <si>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</si>
  <si>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</si>
  <si>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</si>
  <si>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</si>
  <si>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</si>
  <si>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</si>
  <si>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</si>
  <si>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</si>
  <si>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</si>
  <si>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</si>
  <si>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</si>
  <si>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</si>
  <si>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</si>
  <si>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</si>
  <si>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</si>
  <si>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</si>
  <si>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</si>
  <si>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</si>
  <si>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</si>
  <si>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</si>
  <si>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</si>
  <si>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</si>
  <si>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</si>
  <si>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</si>
  <si>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</si>
  <si>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</si>
  <si>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</si>
  <si>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</si>
  <si>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</si>
  <si>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</si>
  <si>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</si>
  <si>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</si>
  <si>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</si>
  <si>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</si>
  <si>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</si>
  <si>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</si>
  <si>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</si>
  <si>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</si>
  <si>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</si>
  <si>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</si>
  <si>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</si>
  <si>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</si>
  <si>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</si>
  <si>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</si>
  <si>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</si>
  <si>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</si>
  <si>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</si>
  <si>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</si>
  <si>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</si>
  <si>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</si>
  <si>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</si>
  <si>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</si>
  <si>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</si>
  <si>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</si>
  <si>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</si>
  <si>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</si>
  <si>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</si>
  <si>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</si>
  <si>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</si>
  <si>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</si>
  <si>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</si>
  <si>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</si>
  <si>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</si>
  <si>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</si>
  <si>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</si>
  <si>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</si>
  <si>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</si>
  <si>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</si>
  <si>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</si>
  <si>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</si>
  <si>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</si>
  <si>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</si>
  <si>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</si>
  <si>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</si>
  <si>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</si>
  <si>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</si>
  <si>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</si>
  <si>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</si>
  <si>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</si>
  <si>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</si>
  <si>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</si>
  <si>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</si>
  <si>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</si>
  <si>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</si>
  <si>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</si>
  <si>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</si>
  <si>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</si>
  <si>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</si>
  <si>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</si>
  <si>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</si>
  <si>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</si>
  <si>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</si>
  <si>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</si>
  <si>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</si>
  <si>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</si>
  <si>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</si>
  <si>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</si>
  <si>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</si>
  <si>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</si>
  <si>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</si>
  <si>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</si>
  <si>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</si>
  <si>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</si>
  <si>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</si>
  <si>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</si>
  <si>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</si>
  <si>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</si>
  <si>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</si>
  <si>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</si>
  <si>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</si>
  <si>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</si>
  <si>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</si>
  <si>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</si>
  <si>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</si>
  <si>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</si>
  <si>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</si>
  <si>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</si>
  <si>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</si>
  <si>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</si>
  <si>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</si>
  <si>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</si>
  <si>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</si>
  <si>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</si>
  <si>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</si>
  <si>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</si>
  <si>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</si>
  <si>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</si>
  <si>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</si>
  <si>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</si>
  <si>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</si>
  <si>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</si>
  <si>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</si>
  <si>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</si>
  <si>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</si>
  <si>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</si>
  <si>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</si>
  <si>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</si>
  <si>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</si>
  <si>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</si>
  <si>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</si>
  <si>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</si>
  <si>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</si>
  <si>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</si>
  <si>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</si>
  <si>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</si>
  <si>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</si>
  <si>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</si>
  <si>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</si>
  <si>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</si>
  <si>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</si>
  <si>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</si>
  <si>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</si>
  <si>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</si>
  <si>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</si>
  <si>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</si>
  <si>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</si>
  <si>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</si>
  <si>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</si>
  <si>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</si>
  <si>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</si>
  <si>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</si>
  <si>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</si>
  <si>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</si>
  <si>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</si>
  <si>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</si>
  <si>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</si>
  <si>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</si>
  <si>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</si>
  <si>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</si>
  <si>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</si>
  <si>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</si>
  <si>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</si>
  <si>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</si>
  <si>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</si>
  <si>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</si>
  <si>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</si>
  <si>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</si>
  <si>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</si>
  <si>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</si>
  <si>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</si>
  <si>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</si>
  <si>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</si>
  <si>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</si>
  <si>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</si>
  <si>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</si>
  <si>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</si>
  <si>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</si>
  <si>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</si>
  <si>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</si>
  <si>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</si>
  <si>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</si>
  <si>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</si>
  <si>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</si>
  <si>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</si>
  <si>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</si>
  <si>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</si>
  <si>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</si>
  <si>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</si>
  <si>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</si>
  <si>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</si>
  <si>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</si>
  <si>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</si>
  <si>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</si>
  <si>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</si>
  <si>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</si>
  <si>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</si>
  <si>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</si>
  <si>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</si>
  <si>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</si>
  <si>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</si>
  <si>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</si>
  <si>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</si>
  <si>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</si>
  <si>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</si>
  <si>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</si>
  <si>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</si>
  <si>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</si>
  <si>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</si>
  <si>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</si>
  <si>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</si>
  <si>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</si>
  <si>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</si>
  <si>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</si>
  <si>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</si>
  <si>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</si>
  <si>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</si>
  <si>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</si>
  <si>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</si>
  <si>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</si>
  <si>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</si>
  <si>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</si>
  <si>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</si>
  <si>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</si>
  <si>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</si>
  <si>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</si>
  <si>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</si>
  <si>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</si>
  <si>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</si>
  <si>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</si>
  <si>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</si>
  <si>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</si>
  <si>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</si>
  <si>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</si>
  <si>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</si>
  <si>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</si>
  <si>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</si>
  <si>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</si>
  <si>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</si>
  <si>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</si>
  <si>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</si>
  <si>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</si>
  <si>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</si>
  <si>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</si>
  <si>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</si>
  <si>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</si>
  <si>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</si>
  <si>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</si>
  <si>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</si>
  <si>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</si>
  <si>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</si>
  <si>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</si>
  <si>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</si>
  <si>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</si>
  <si>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</si>
  <si>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</si>
  <si>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</si>
  <si>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</si>
  <si>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</si>
  <si>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</si>
  <si>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</si>
  <si>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</si>
  <si>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</si>
  <si>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</si>
  <si>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</si>
  <si>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</si>
  <si>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CAMPTON SCHOOL DISTRICT</t>
  </si>
  <si>
    <t>07/06</t>
  </si>
  <si>
    <t>02/14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</si>
</sst>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410" activePane="bottomRight" state="frozen"/>
      <selection pane="topRight" activeCell="F1" sqref="F1"/>
      <selection pane="bottomLeft" activeCell="A4" sqref="A4"/>
      <selection pane="bottomRight" activeCell="H417" sqref="H417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75</v>
      </c>
      <c r="C2" s="21">
        <v>75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169796.46</v>
      </c>
      <c r="G9" s="18">
        <v>-113502.86</v>
      </c>
      <c r="H9" s="18">
        <v>-9556.36</v>
      </c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>
        <v>100</v>
      </c>
      <c r="H10" s="18"/>
      <c r="I10" s="18"/>
      <c r="J10" s="67">
        <f>SUM(I439)</f>
        <v>970.04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37023.339999999997</v>
      </c>
      <c r="G13" s="18">
        <v>13826.12</v>
      </c>
      <c r="H13" s="18">
        <v>9556.36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476.85</v>
      </c>
      <c r="G14" s="18">
        <v>21678.65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207296.65</v>
      </c>
      <c r="G19" s="41">
        <f>SUM(G9:G18)</f>
        <v>-77898.09</v>
      </c>
      <c r="H19" s="41">
        <f>SUM(H9:H18)</f>
        <v>0</v>
      </c>
      <c r="I19" s="41">
        <f>SUM(I9:I18)</f>
        <v>0</v>
      </c>
      <c r="J19" s="41">
        <f>SUM(J9:J18)</f>
        <v>970.04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119308.43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3733.93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123042.35999999999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70661.42</v>
      </c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970.04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>
        <v>-77898.09</v>
      </c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13592.87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84254.29</v>
      </c>
      <c r="G50" s="41">
        <f>SUM(G35:G49)</f>
        <v>-77898.09</v>
      </c>
      <c r="H50" s="41">
        <f>SUM(H35:H49)</f>
        <v>0</v>
      </c>
      <c r="I50" s="41">
        <f>SUM(I35:I49)</f>
        <v>0</v>
      </c>
      <c r="J50" s="41">
        <f>SUM(J35:J49)</f>
        <v>970.04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207296.64999999997</v>
      </c>
      <c r="G51" s="41">
        <f>G50+G32</f>
        <v>-77898.09</v>
      </c>
      <c r="H51" s="41">
        <f>H50+H32</f>
        <v>0</v>
      </c>
      <c r="I51" s="41">
        <f>I50+I32</f>
        <v>0</v>
      </c>
      <c r="J51" s="41">
        <f>J50+J32</f>
        <v>970.04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3378220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3378220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24231.7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11781.64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36013.339999999997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155.96</v>
      </c>
      <c r="G95" s="18">
        <v>2.39</v>
      </c>
      <c r="H95" s="18"/>
      <c r="I95" s="18"/>
      <c r="J95" s="18">
        <v>1.75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30658.69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140389.71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140545.66999999998</v>
      </c>
      <c r="G110" s="41">
        <f>SUM(G95:G109)</f>
        <v>30661.079999999998</v>
      </c>
      <c r="H110" s="41">
        <f>SUM(H95:H109)</f>
        <v>0</v>
      </c>
      <c r="I110" s="41">
        <f>SUM(I95:I109)</f>
        <v>0</v>
      </c>
      <c r="J110" s="41">
        <f>SUM(J95:J109)</f>
        <v>1.75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3554779.01</v>
      </c>
      <c r="G111" s="41">
        <f>G59+G110</f>
        <v>30661.079999999998</v>
      </c>
      <c r="H111" s="41">
        <f>H59+H78+H93+H110</f>
        <v>0</v>
      </c>
      <c r="I111" s="41">
        <f>I59+I110</f>
        <v>0</v>
      </c>
      <c r="J111" s="41">
        <f>J59+J110</f>
        <v>1.75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1021270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610283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1631553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152249.43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9050.43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1409.44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161299.85999999999</v>
      </c>
      <c r="G135" s="41">
        <f>SUM(G122:G134)</f>
        <v>1409.44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1792852.8599999999</v>
      </c>
      <c r="G139" s="41">
        <f>G120+SUM(G135:G136)</f>
        <v>1409.44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43360.78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52612.51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69172.7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69172.7</v>
      </c>
      <c r="G161" s="41">
        <f>SUM(G149:G160)</f>
        <v>52612.51</v>
      </c>
      <c r="H161" s="41">
        <f>SUM(H149:H160)</f>
        <v>43360.78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2288.9299999999998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71461.62999999999</v>
      </c>
      <c r="G168" s="41">
        <f>G146+G161+SUM(G162:G167)</f>
        <v>52612.51</v>
      </c>
      <c r="H168" s="41">
        <f>H146+H161+SUM(H162:H167)</f>
        <v>43360.78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33400</v>
      </c>
      <c r="H178" s="18"/>
      <c r="I178" s="18"/>
      <c r="J178" s="18"/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33400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246.57</v>
      </c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246.57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246.57</v>
      </c>
      <c r="G191" s="41">
        <f>G182+SUM(G187:G190)</f>
        <v>33400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5419340.0699999994</v>
      </c>
      <c r="G192" s="47">
        <f>G111+G139+G168+G191</f>
        <v>118083.03</v>
      </c>
      <c r="H192" s="47">
        <f>H111+H139+H168+H191</f>
        <v>43360.78</v>
      </c>
      <c r="I192" s="47">
        <f>I111+I139+I168+I191</f>
        <v>0</v>
      </c>
      <c r="J192" s="47">
        <f>J111+J139+J191</f>
        <v>1.75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1576709.3</v>
      </c>
      <c r="G196" s="18">
        <v>812467.73</v>
      </c>
      <c r="H196" s="18">
        <v>14401.99</v>
      </c>
      <c r="I196" s="18">
        <v>43960.05</v>
      </c>
      <c r="J196" s="18">
        <v>44351.66</v>
      </c>
      <c r="K196" s="18">
        <v>80</v>
      </c>
      <c r="L196" s="19">
        <f>SUM(F196:K196)</f>
        <v>2491970.7300000004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506157.83</v>
      </c>
      <c r="G197" s="18">
        <v>222249.60000000001</v>
      </c>
      <c r="H197" s="18">
        <v>95467.32</v>
      </c>
      <c r="I197" s="18">
        <v>1077.08</v>
      </c>
      <c r="J197" s="18">
        <v>876.85</v>
      </c>
      <c r="K197" s="18">
        <v>670</v>
      </c>
      <c r="L197" s="19">
        <f>SUM(F197:K197)</f>
        <v>826498.67999999993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37242.75</v>
      </c>
      <c r="G199" s="18">
        <v>7299.24</v>
      </c>
      <c r="H199" s="18">
        <v>2940</v>
      </c>
      <c r="I199" s="18">
        <v>2123.46</v>
      </c>
      <c r="J199" s="18">
        <v>2300.23</v>
      </c>
      <c r="K199" s="18">
        <v>2625.49</v>
      </c>
      <c r="L199" s="19">
        <f>SUM(F199:K199)</f>
        <v>54531.17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180029.81</v>
      </c>
      <c r="G201" s="18">
        <v>96553.06</v>
      </c>
      <c r="H201" s="18">
        <v>146079.6</v>
      </c>
      <c r="I201" s="18">
        <v>3871.22</v>
      </c>
      <c r="J201" s="18">
        <v>401.81</v>
      </c>
      <c r="K201" s="18"/>
      <c r="L201" s="19">
        <f t="shared" ref="L201:L207" si="0">SUM(F201:K201)</f>
        <v>426935.49999999994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22109.01</v>
      </c>
      <c r="G202" s="18">
        <v>59972.89</v>
      </c>
      <c r="H202" s="18">
        <v>720</v>
      </c>
      <c r="I202" s="18">
        <v>2404.6</v>
      </c>
      <c r="J202" s="18"/>
      <c r="K202" s="18"/>
      <c r="L202" s="19">
        <f t="shared" si="0"/>
        <v>85206.5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6100</v>
      </c>
      <c r="G203" s="18">
        <v>466.65</v>
      </c>
      <c r="H203" s="18">
        <v>188517.88</v>
      </c>
      <c r="I203" s="18">
        <v>768.39</v>
      </c>
      <c r="J203" s="18"/>
      <c r="K203" s="18">
        <v>3356.04</v>
      </c>
      <c r="L203" s="19">
        <f t="shared" si="0"/>
        <v>199208.96000000002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213274.16</v>
      </c>
      <c r="G204" s="18">
        <v>101805.98</v>
      </c>
      <c r="H204" s="18">
        <v>2795.95</v>
      </c>
      <c r="I204" s="18">
        <v>1284.82</v>
      </c>
      <c r="J204" s="18"/>
      <c r="K204" s="18">
        <v>2543.7199999999998</v>
      </c>
      <c r="L204" s="19">
        <f t="shared" si="0"/>
        <v>321704.63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99839.31</v>
      </c>
      <c r="G206" s="18">
        <v>26446.29</v>
      </c>
      <c r="H206" s="18">
        <v>107603.9</v>
      </c>
      <c r="I206" s="18">
        <v>111946.19</v>
      </c>
      <c r="J206" s="18"/>
      <c r="K206" s="18">
        <v>17569.3</v>
      </c>
      <c r="L206" s="19">
        <f t="shared" si="0"/>
        <v>363404.99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216186.44</v>
      </c>
      <c r="I207" s="18"/>
      <c r="J207" s="18"/>
      <c r="K207" s="18"/>
      <c r="L207" s="19">
        <f t="shared" si="0"/>
        <v>216186.44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2641462.17</v>
      </c>
      <c r="G210" s="41">
        <f t="shared" si="1"/>
        <v>1327261.4399999997</v>
      </c>
      <c r="H210" s="41">
        <f t="shared" si="1"/>
        <v>774713.08000000007</v>
      </c>
      <c r="I210" s="41">
        <f t="shared" si="1"/>
        <v>167435.81</v>
      </c>
      <c r="J210" s="41">
        <f t="shared" si="1"/>
        <v>47930.55</v>
      </c>
      <c r="K210" s="41">
        <f t="shared" si="1"/>
        <v>26844.55</v>
      </c>
      <c r="L210" s="41">
        <f t="shared" si="1"/>
        <v>4985647.6000000006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/>
      <c r="I232" s="18"/>
      <c r="J232" s="18"/>
      <c r="K232" s="18"/>
      <c r="L232" s="19">
        <f>SUM(F232:K232)</f>
        <v>0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0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>
        <v>29949.19</v>
      </c>
      <c r="G252" s="18">
        <v>2549.52</v>
      </c>
      <c r="H252" s="18">
        <v>4696</v>
      </c>
      <c r="I252" s="18">
        <v>496.57</v>
      </c>
      <c r="J252" s="18"/>
      <c r="K252" s="18"/>
      <c r="L252" s="19">
        <f t="shared" si="6"/>
        <v>37691.279999999999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13784</v>
      </c>
      <c r="I254" s="18"/>
      <c r="J254" s="18"/>
      <c r="K254" s="18">
        <v>291833.44</v>
      </c>
      <c r="L254" s="19">
        <f t="shared" si="6"/>
        <v>305617.44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29949.19</v>
      </c>
      <c r="G255" s="41">
        <f t="shared" si="7"/>
        <v>2549.52</v>
      </c>
      <c r="H255" s="41">
        <f t="shared" si="7"/>
        <v>18480</v>
      </c>
      <c r="I255" s="41">
        <f t="shared" si="7"/>
        <v>496.57</v>
      </c>
      <c r="J255" s="41">
        <f t="shared" si="7"/>
        <v>0</v>
      </c>
      <c r="K255" s="41">
        <f t="shared" si="7"/>
        <v>291833.44</v>
      </c>
      <c r="L255" s="41">
        <f>SUM(F255:K255)</f>
        <v>343308.72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2671411.36</v>
      </c>
      <c r="G256" s="41">
        <f t="shared" si="8"/>
        <v>1329810.9599999997</v>
      </c>
      <c r="H256" s="41">
        <f t="shared" si="8"/>
        <v>793193.08000000007</v>
      </c>
      <c r="I256" s="41">
        <f t="shared" si="8"/>
        <v>167932.38</v>
      </c>
      <c r="J256" s="41">
        <f t="shared" si="8"/>
        <v>47930.55</v>
      </c>
      <c r="K256" s="41">
        <f t="shared" si="8"/>
        <v>318677.99</v>
      </c>
      <c r="L256" s="41">
        <f t="shared" si="8"/>
        <v>5328956.32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33400</v>
      </c>
      <c r="L262" s="19">
        <f>SUM(F262:K262)</f>
        <v>33400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33400</v>
      </c>
      <c r="L269" s="41">
        <f t="shared" si="9"/>
        <v>33400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2671411.36</v>
      </c>
      <c r="G270" s="42">
        <f t="shared" si="11"/>
        <v>1329810.9599999997</v>
      </c>
      <c r="H270" s="42">
        <f t="shared" si="11"/>
        <v>793193.08000000007</v>
      </c>
      <c r="I270" s="42">
        <f t="shared" si="11"/>
        <v>167932.38</v>
      </c>
      <c r="J270" s="42">
        <f t="shared" si="11"/>
        <v>47930.55</v>
      </c>
      <c r="K270" s="42">
        <f t="shared" si="11"/>
        <v>352077.99</v>
      </c>
      <c r="L270" s="42">
        <f t="shared" si="11"/>
        <v>5362356.32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36816.65</v>
      </c>
      <c r="G275" s="18">
        <v>6200</v>
      </c>
      <c r="H275" s="18"/>
      <c r="I275" s="18"/>
      <c r="J275" s="18"/>
      <c r="K275" s="18"/>
      <c r="L275" s="19">
        <f>SUM(F275:K275)</f>
        <v>43016.65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v>344.13</v>
      </c>
      <c r="L284" s="19">
        <f t="shared" si="12"/>
        <v>344.13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36816.65</v>
      </c>
      <c r="G289" s="42">
        <f t="shared" si="13"/>
        <v>6200</v>
      </c>
      <c r="H289" s="42">
        <f t="shared" si="13"/>
        <v>0</v>
      </c>
      <c r="I289" s="42">
        <f t="shared" si="13"/>
        <v>0</v>
      </c>
      <c r="J289" s="42">
        <f t="shared" si="13"/>
        <v>0</v>
      </c>
      <c r="K289" s="42">
        <f t="shared" si="13"/>
        <v>344.13</v>
      </c>
      <c r="L289" s="41">
        <f t="shared" si="13"/>
        <v>43360.78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36816.65</v>
      </c>
      <c r="G337" s="41">
        <f t="shared" si="20"/>
        <v>6200</v>
      </c>
      <c r="H337" s="41">
        <f t="shared" si="20"/>
        <v>0</v>
      </c>
      <c r="I337" s="41">
        <f t="shared" si="20"/>
        <v>0</v>
      </c>
      <c r="J337" s="41">
        <f t="shared" si="20"/>
        <v>0</v>
      </c>
      <c r="K337" s="41">
        <f t="shared" si="20"/>
        <v>344.13</v>
      </c>
      <c r="L337" s="41">
        <f t="shared" si="20"/>
        <v>43360.78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36816.65</v>
      </c>
      <c r="G351" s="41">
        <f>G337</f>
        <v>6200</v>
      </c>
      <c r="H351" s="41">
        <f>H337</f>
        <v>0</v>
      </c>
      <c r="I351" s="41">
        <f>I337</f>
        <v>0</v>
      </c>
      <c r="J351" s="41">
        <f>J337</f>
        <v>0</v>
      </c>
      <c r="K351" s="47">
        <f>K337+K350</f>
        <v>344.13</v>
      </c>
      <c r="L351" s="41">
        <f>L337+L350</f>
        <v>43360.78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>
        <v>121351.67</v>
      </c>
      <c r="I357" s="18">
        <v>355.13</v>
      </c>
      <c r="J357" s="18"/>
      <c r="K357" s="18"/>
      <c r="L357" s="13">
        <f>SUM(F357:K357)</f>
        <v>121706.8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121351.67</v>
      </c>
      <c r="I361" s="47">
        <f t="shared" si="22"/>
        <v>355.13</v>
      </c>
      <c r="J361" s="47">
        <f t="shared" si="22"/>
        <v>0</v>
      </c>
      <c r="K361" s="47">
        <f t="shared" si="22"/>
        <v>0</v>
      </c>
      <c r="L361" s="47">
        <f t="shared" si="22"/>
        <v>121706.8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355.13</v>
      </c>
      <c r="G367" s="63"/>
      <c r="H367" s="63"/>
      <c r="I367" s="56">
        <f>SUM(F367:H367)</f>
        <v>355.13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355.13</v>
      </c>
      <c r="G368" s="47">
        <f>SUM(G366:G367)</f>
        <v>0</v>
      </c>
      <c r="H368" s="47">
        <f>SUM(H366:H367)</f>
        <v>0</v>
      </c>
      <c r="I368" s="47">
        <f>SUM(I366:I367)</f>
        <v>355.13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1.75</v>
      </c>
      <c r="I395" s="18"/>
      <c r="J395" s="24" t="s">
        <v>289</v>
      </c>
      <c r="K395" s="24" t="s">
        <v>289</v>
      </c>
      <c r="L395" s="56">
        <f t="shared" si="26"/>
        <v>1.75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1.75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1.75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1.75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1.75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>
        <v>246.57</v>
      </c>
      <c r="L417" s="56">
        <f t="shared" si="27"/>
        <v>246.57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246.57</v>
      </c>
      <c r="L418" s="47">
        <f t="shared" si="28"/>
        <v>246.57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246.57</v>
      </c>
      <c r="L433" s="47">
        <f t="shared" si="32"/>
        <v>246.57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>
        <v>970.04</v>
      </c>
      <c r="H439" s="18"/>
      <c r="I439" s="56">
        <f t="shared" si="33"/>
        <v>970.04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 t="s">
        <v>287</v>
      </c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970.04</v>
      </c>
      <c r="H445" s="13">
        <f>SUM(H438:H444)</f>
        <v>0</v>
      </c>
      <c r="I445" s="13">
        <f>SUM(I438:I444)</f>
        <v>970.04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970.04</v>
      </c>
      <c r="H458" s="18"/>
      <c r="I458" s="56">
        <f t="shared" si="34"/>
        <v>970.04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970.04</v>
      </c>
      <c r="H459" s="83">
        <f>SUM(H453:H458)</f>
        <v>0</v>
      </c>
      <c r="I459" s="83">
        <f>SUM(I453:I458)</f>
        <v>970.04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970.04</v>
      </c>
      <c r="H460" s="42">
        <f>H451+H459</f>
        <v>0</v>
      </c>
      <c r="I460" s="42">
        <f>I451+I459</f>
        <v>970.04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27270.54</v>
      </c>
      <c r="G464" s="18">
        <v>-74274.320000000007</v>
      </c>
      <c r="H464" s="18">
        <v>0</v>
      </c>
      <c r="I464" s="18"/>
      <c r="J464" s="18">
        <v>1214.8599999999999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5419340.0700000003</v>
      </c>
      <c r="G467" s="18">
        <v>118083.03</v>
      </c>
      <c r="H467" s="18">
        <v>43360.78</v>
      </c>
      <c r="I467" s="18"/>
      <c r="J467" s="18">
        <v>1.75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5419340.0700000003</v>
      </c>
      <c r="G469" s="53">
        <f>SUM(G467:G468)</f>
        <v>118083.03</v>
      </c>
      <c r="H469" s="53">
        <f>SUM(H467:H468)</f>
        <v>43360.78</v>
      </c>
      <c r="I469" s="53">
        <f>SUM(I467:I468)</f>
        <v>0</v>
      </c>
      <c r="J469" s="53">
        <f>SUM(J467:J468)</f>
        <v>1.75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5362356.32</v>
      </c>
      <c r="G471" s="18">
        <v>121706.8</v>
      </c>
      <c r="H471" s="18">
        <v>43360.78</v>
      </c>
      <c r="I471" s="18"/>
      <c r="J471" s="18">
        <v>246.57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5362356.32</v>
      </c>
      <c r="G473" s="53">
        <f>SUM(G471:G472)</f>
        <v>121706.8</v>
      </c>
      <c r="H473" s="53">
        <f>SUM(H471:H472)</f>
        <v>43360.78</v>
      </c>
      <c r="I473" s="53">
        <f>SUM(I471:I472)</f>
        <v>0</v>
      </c>
      <c r="J473" s="53">
        <f>SUM(J471:J472)</f>
        <v>246.57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84254.290000000037</v>
      </c>
      <c r="G475" s="53">
        <f>(G464+G469)- G473</f>
        <v>-77898.090000000011</v>
      </c>
      <c r="H475" s="53">
        <f>(H464+H469)- H473</f>
        <v>0</v>
      </c>
      <c r="I475" s="53">
        <f>(I464+I469)- I473</f>
        <v>0</v>
      </c>
      <c r="J475" s="53">
        <f>(J464+J469)- J473</f>
        <v>970.04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7</v>
      </c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1950000</v>
      </c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4.1500000000000004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550000</v>
      </c>
      <c r="G494" s="18"/>
      <c r="H494" s="18"/>
      <c r="I494" s="18"/>
      <c r="J494" s="18"/>
      <c r="K494" s="53">
        <f>SUM(F494:J494)</f>
        <v>550000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550000</v>
      </c>
      <c r="G497" s="204"/>
      <c r="H497" s="204"/>
      <c r="I497" s="204"/>
      <c r="J497" s="204"/>
      <c r="K497" s="205">
        <f t="shared" si="35"/>
        <v>550000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22825</v>
      </c>
      <c r="G498" s="18"/>
      <c r="H498" s="18"/>
      <c r="I498" s="18"/>
      <c r="J498" s="18"/>
      <c r="K498" s="53">
        <f t="shared" si="35"/>
        <v>22825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572825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572825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280000</v>
      </c>
      <c r="G500" s="204"/>
      <c r="H500" s="204"/>
      <c r="I500" s="204"/>
      <c r="J500" s="204"/>
      <c r="K500" s="205">
        <f t="shared" si="35"/>
        <v>280000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11412.5</v>
      </c>
      <c r="G501" s="18"/>
      <c r="H501" s="18"/>
      <c r="I501" s="18"/>
      <c r="J501" s="18"/>
      <c r="K501" s="53">
        <f t="shared" si="35"/>
        <v>11412.5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291412.5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291412.5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506157.83</v>
      </c>
      <c r="G520" s="18">
        <v>222249.60000000001</v>
      </c>
      <c r="H520" s="18">
        <v>95467.32</v>
      </c>
      <c r="I520" s="18">
        <v>1077.08</v>
      </c>
      <c r="J520" s="18">
        <v>876.85</v>
      </c>
      <c r="K520" s="18">
        <v>670</v>
      </c>
      <c r="L520" s="88">
        <f>SUM(F520:K520)</f>
        <v>826498.67999999993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506157.83</v>
      </c>
      <c r="G523" s="108">
        <f t="shared" ref="G523:L523" si="36">SUM(G520:G522)</f>
        <v>222249.60000000001</v>
      </c>
      <c r="H523" s="108">
        <f t="shared" si="36"/>
        <v>95467.32</v>
      </c>
      <c r="I523" s="108">
        <f t="shared" si="36"/>
        <v>1077.08</v>
      </c>
      <c r="J523" s="108">
        <f t="shared" si="36"/>
        <v>876.85</v>
      </c>
      <c r="K523" s="108">
        <f t="shared" si="36"/>
        <v>670</v>
      </c>
      <c r="L523" s="89">
        <f t="shared" si="36"/>
        <v>826498.67999999993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125529.01</v>
      </c>
      <c r="G525" s="18">
        <v>64256.480000000003</v>
      </c>
      <c r="H525" s="18">
        <v>96396.36</v>
      </c>
      <c r="I525" s="18">
        <v>1773.19</v>
      </c>
      <c r="J525" s="18">
        <v>401.81</v>
      </c>
      <c r="K525" s="18"/>
      <c r="L525" s="88">
        <f>SUM(F525:K525)</f>
        <v>288356.84999999998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125529.01</v>
      </c>
      <c r="G528" s="89">
        <f t="shared" ref="G528:L528" si="37">SUM(G525:G527)</f>
        <v>64256.480000000003</v>
      </c>
      <c r="H528" s="89">
        <f t="shared" si="37"/>
        <v>96396.36</v>
      </c>
      <c r="I528" s="89">
        <f t="shared" si="37"/>
        <v>1773.19</v>
      </c>
      <c r="J528" s="89">
        <f t="shared" si="37"/>
        <v>401.81</v>
      </c>
      <c r="K528" s="89">
        <f t="shared" si="37"/>
        <v>0</v>
      </c>
      <c r="L528" s="89">
        <f t="shared" si="37"/>
        <v>288356.84999999998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14658.74</v>
      </c>
      <c r="G530" s="18">
        <v>6327.04</v>
      </c>
      <c r="H530" s="18">
        <v>224.15</v>
      </c>
      <c r="I530" s="18"/>
      <c r="J530" s="18"/>
      <c r="K530" s="18"/>
      <c r="L530" s="88">
        <f>SUM(F530:K530)</f>
        <v>21209.93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14658.74</v>
      </c>
      <c r="G533" s="89">
        <f t="shared" ref="G533:L533" si="38">SUM(G530:G532)</f>
        <v>6327.04</v>
      </c>
      <c r="H533" s="89">
        <f t="shared" si="38"/>
        <v>224.15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21209.93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16460</v>
      </c>
      <c r="I540" s="18"/>
      <c r="J540" s="18"/>
      <c r="K540" s="18"/>
      <c r="L540" s="88">
        <f>SUM(F540:K540)</f>
        <v>16460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16460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16460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646345.57999999996</v>
      </c>
      <c r="G544" s="89">
        <f t="shared" ref="G544:L544" si="41">G523+G528+G533+G538+G543</f>
        <v>292833.12</v>
      </c>
      <c r="H544" s="89">
        <f t="shared" si="41"/>
        <v>208547.83</v>
      </c>
      <c r="I544" s="89">
        <f t="shared" si="41"/>
        <v>2850.27</v>
      </c>
      <c r="J544" s="89">
        <f t="shared" si="41"/>
        <v>1278.6600000000001</v>
      </c>
      <c r="K544" s="89">
        <f t="shared" si="41"/>
        <v>670</v>
      </c>
      <c r="L544" s="89">
        <f t="shared" si="41"/>
        <v>1152525.4599999997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826498.67999999993</v>
      </c>
      <c r="G548" s="87">
        <f>L525</f>
        <v>288356.84999999998</v>
      </c>
      <c r="H548" s="87">
        <f>L530</f>
        <v>21209.93</v>
      </c>
      <c r="I548" s="87">
        <f>L535</f>
        <v>0</v>
      </c>
      <c r="J548" s="87">
        <f>L540</f>
        <v>16460</v>
      </c>
      <c r="K548" s="87">
        <f>SUM(F548:J548)</f>
        <v>1152525.4599999997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826498.67999999993</v>
      </c>
      <c r="G551" s="89">
        <f t="shared" si="42"/>
        <v>288356.84999999998</v>
      </c>
      <c r="H551" s="89">
        <f t="shared" si="42"/>
        <v>21209.93</v>
      </c>
      <c r="I551" s="89">
        <f t="shared" si="42"/>
        <v>0</v>
      </c>
      <c r="J551" s="89">
        <f t="shared" si="42"/>
        <v>16460</v>
      </c>
      <c r="K551" s="89">
        <f t="shared" si="42"/>
        <v>1152525.4599999997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1760</v>
      </c>
      <c r="G561" s="18">
        <v>134.63999999999999</v>
      </c>
      <c r="H561" s="18"/>
      <c r="I561" s="18"/>
      <c r="J561" s="18"/>
      <c r="K561" s="18"/>
      <c r="L561" s="88">
        <f>SUM(F561:K561)</f>
        <v>1894.6399999999999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1760</v>
      </c>
      <c r="G564" s="89">
        <f t="shared" si="44"/>
        <v>134.63999999999999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1894.6399999999999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1760</v>
      </c>
      <c r="G570" s="89">
        <f t="shared" ref="G570:L570" si="46">G559+G564+G569</f>
        <v>134.63999999999999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1894.6399999999999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68745.53</v>
      </c>
      <c r="G578" s="18"/>
      <c r="H578" s="18"/>
      <c r="I578" s="87">
        <f t="shared" si="47"/>
        <v>68745.53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16726.990000000002</v>
      </c>
      <c r="G582" s="18"/>
      <c r="H582" s="18"/>
      <c r="I582" s="87">
        <f t="shared" si="47"/>
        <v>16726.990000000002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193601.44</v>
      </c>
      <c r="I590" s="18"/>
      <c r="J590" s="18"/>
      <c r="K590" s="104">
        <f t="shared" ref="K590:K596" si="48">SUM(H590:J590)</f>
        <v>193601.44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16460</v>
      </c>
      <c r="I591" s="18"/>
      <c r="J591" s="18"/>
      <c r="K591" s="104">
        <f t="shared" si="48"/>
        <v>16460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3825</v>
      </c>
      <c r="I593" s="18"/>
      <c r="J593" s="18"/>
      <c r="K593" s="104">
        <f t="shared" si="48"/>
        <v>3825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2300</v>
      </c>
      <c r="I594" s="18"/>
      <c r="J594" s="18"/>
      <c r="K594" s="104">
        <f t="shared" si="48"/>
        <v>2300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216186.44</v>
      </c>
      <c r="I597" s="108">
        <f>SUM(I590:I596)</f>
        <v>0</v>
      </c>
      <c r="J597" s="108">
        <f>SUM(J590:J596)</f>
        <v>0</v>
      </c>
      <c r="K597" s="108">
        <f>SUM(K590:K596)</f>
        <v>216186.44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47930.55</v>
      </c>
      <c r="I603" s="18"/>
      <c r="J603" s="18"/>
      <c r="K603" s="104">
        <f>SUM(H603:J603)</f>
        <v>47930.55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47930.55</v>
      </c>
      <c r="I604" s="108">
        <f>SUM(I601:I603)</f>
        <v>0</v>
      </c>
      <c r="J604" s="108">
        <f>SUM(J601:J603)</f>
        <v>0</v>
      </c>
      <c r="K604" s="108">
        <f>SUM(K601:K603)</f>
        <v>47930.55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207296.65</v>
      </c>
      <c r="H616" s="109">
        <f>SUM(F51)</f>
        <v>207296.64999999997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-77898.09</v>
      </c>
      <c r="H617" s="109">
        <f>SUM(G51)</f>
        <v>-77898.09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970.04</v>
      </c>
      <c r="H620" s="109">
        <f>SUM(J51)</f>
        <v>970.04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84254.29</v>
      </c>
      <c r="H621" s="109">
        <f>F475</f>
        <v>84254.290000000037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-77898.09</v>
      </c>
      <c r="H622" s="109">
        <f>G475</f>
        <v>-77898.090000000011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970.04</v>
      </c>
      <c r="H625" s="109">
        <f>J475</f>
        <v>970.04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5419340.0699999994</v>
      </c>
      <c r="H626" s="104">
        <f>SUM(F467)</f>
        <v>5419340.0700000003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118083.03</v>
      </c>
      <c r="H627" s="104">
        <f>SUM(G467)</f>
        <v>118083.03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43360.78</v>
      </c>
      <c r="H628" s="104">
        <f>SUM(H467)</f>
        <v>43360.78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1.75</v>
      </c>
      <c r="H630" s="104">
        <f>SUM(J467)</f>
        <v>1.75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5362356.32</v>
      </c>
      <c r="H631" s="104">
        <f>SUM(F471)</f>
        <v>5362356.32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43360.78</v>
      </c>
      <c r="H632" s="104">
        <f>SUM(H471)</f>
        <v>43360.78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355.13</v>
      </c>
      <c r="H633" s="104">
        <f>I368</f>
        <v>355.13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121706.8</v>
      </c>
      <c r="H634" s="104">
        <f>SUM(G471)</f>
        <v>121706.8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1.75</v>
      </c>
      <c r="H636" s="164">
        <f>SUM(J467)</f>
        <v>1.75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246.57</v>
      </c>
      <c r="H637" s="164">
        <f>SUM(J471)</f>
        <v>246.57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970.04</v>
      </c>
      <c r="H639" s="104">
        <f>SUM(G460)</f>
        <v>970.04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970.04</v>
      </c>
      <c r="H641" s="104">
        <f>SUM(I460)</f>
        <v>970.04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1.75</v>
      </c>
      <c r="H643" s="104">
        <f>H407</f>
        <v>1.75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1.75</v>
      </c>
      <c r="H645" s="104">
        <f>L407</f>
        <v>1.75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216186.44</v>
      </c>
      <c r="H646" s="104">
        <f>L207+L225+L243</f>
        <v>216186.44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47930.55</v>
      </c>
      <c r="H647" s="104">
        <f>(J256+J337)-(J254+J335)</f>
        <v>47930.55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216186.44</v>
      </c>
      <c r="H648" s="104">
        <f>H597</f>
        <v>216186.44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33400</v>
      </c>
      <c r="H651" s="104">
        <f>K262+K344</f>
        <v>33400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5150715.1800000006</v>
      </c>
      <c r="G659" s="19">
        <f>(L228+L308+L358)</f>
        <v>0</v>
      </c>
      <c r="H659" s="19">
        <f>(L246+L327+L359)</f>
        <v>0</v>
      </c>
      <c r="I659" s="19">
        <f>SUM(F659:H659)</f>
        <v>5150715.1800000006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30658.69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30658.69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216186.44</v>
      </c>
      <c r="G661" s="19">
        <f>(L225+L305)-(J225+J305)</f>
        <v>0</v>
      </c>
      <c r="H661" s="19">
        <f>(L243+L324)-(J243+J324)</f>
        <v>0</v>
      </c>
      <c r="I661" s="19">
        <f>SUM(F661:H661)</f>
        <v>216186.44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133403.07</v>
      </c>
      <c r="G662" s="199">
        <f>SUM(G574:G586)+SUM(I601:I603)+L611</f>
        <v>0</v>
      </c>
      <c r="H662" s="199">
        <f>SUM(H574:H586)+SUM(J601:J603)+L612</f>
        <v>0</v>
      </c>
      <c r="I662" s="19">
        <f>SUM(F662:H662)</f>
        <v>133403.07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4770466.9800000004</v>
      </c>
      <c r="G663" s="19">
        <f>G659-SUM(G660:G662)</f>
        <v>0</v>
      </c>
      <c r="H663" s="19">
        <f>H659-SUM(H660:H662)</f>
        <v>0</v>
      </c>
      <c r="I663" s="19">
        <f>I659-SUM(I660:I662)</f>
        <v>4770466.9800000004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307.77</v>
      </c>
      <c r="G664" s="248"/>
      <c r="H664" s="248"/>
      <c r="I664" s="19">
        <f>SUM(F664:H664)</f>
        <v>307.77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15500.1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15500.1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15500.1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15500.1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CAMPTON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1613525.95</v>
      </c>
      <c r="C9" s="229">
        <f>'DOE25'!G196+'DOE25'!G214+'DOE25'!G232+'DOE25'!G275+'DOE25'!G294+'DOE25'!G313</f>
        <v>818667.73</v>
      </c>
    </row>
    <row r="10" spans="1:3" x14ac:dyDescent="0.2">
      <c r="A10" t="s">
        <v>779</v>
      </c>
      <c r="B10" s="240">
        <v>1535366.97</v>
      </c>
      <c r="C10" s="240">
        <v>809576</v>
      </c>
    </row>
    <row r="11" spans="1:3" x14ac:dyDescent="0.2">
      <c r="A11" t="s">
        <v>780</v>
      </c>
      <c r="B11" s="240">
        <v>16362.5</v>
      </c>
      <c r="C11" s="240">
        <v>2923.9</v>
      </c>
    </row>
    <row r="12" spans="1:3" x14ac:dyDescent="0.2">
      <c r="A12" t="s">
        <v>781</v>
      </c>
      <c r="B12" s="240">
        <v>61796.480000000003</v>
      </c>
      <c r="C12" s="240">
        <v>6167.83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1613525.95</v>
      </c>
      <c r="C13" s="231">
        <f>SUM(C10:C12)</f>
        <v>818667.73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506157.83</v>
      </c>
      <c r="C18" s="229">
        <f>'DOE25'!G197+'DOE25'!G215+'DOE25'!G233+'DOE25'!G276+'DOE25'!G295+'DOE25'!G314</f>
        <v>222249.60000000001</v>
      </c>
    </row>
    <row r="19" spans="1:3" x14ac:dyDescent="0.2">
      <c r="A19" t="s">
        <v>779</v>
      </c>
      <c r="B19" s="240">
        <v>259404</v>
      </c>
      <c r="C19" s="240">
        <v>138513.46</v>
      </c>
    </row>
    <row r="20" spans="1:3" x14ac:dyDescent="0.2">
      <c r="A20" t="s">
        <v>780</v>
      </c>
      <c r="B20" s="240">
        <v>226704.48</v>
      </c>
      <c r="C20" s="240">
        <v>80021.509999999995</v>
      </c>
    </row>
    <row r="21" spans="1:3" x14ac:dyDescent="0.2">
      <c r="A21" t="s">
        <v>781</v>
      </c>
      <c r="B21" s="240">
        <v>20049.349999999999</v>
      </c>
      <c r="C21" s="240">
        <v>3714.63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506157.82999999996</v>
      </c>
      <c r="C22" s="231">
        <f>SUM(C19:C21)</f>
        <v>222249.59999999998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37242.75</v>
      </c>
      <c r="C36" s="235">
        <f>'DOE25'!G199+'DOE25'!G217+'DOE25'!G235+'DOE25'!G278+'DOE25'!G297+'DOE25'!G316</f>
        <v>7299.24</v>
      </c>
    </row>
    <row r="37" spans="1:3" x14ac:dyDescent="0.2">
      <c r="A37" t="s">
        <v>779</v>
      </c>
      <c r="B37" s="240">
        <v>37242.75</v>
      </c>
      <c r="C37" s="240">
        <v>7299.24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37242.75</v>
      </c>
      <c r="C40" s="231">
        <f>SUM(C37:C39)</f>
        <v>7299.24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CAMPTON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3373000.58</v>
      </c>
      <c r="D5" s="20">
        <f>SUM('DOE25'!L196:L199)+SUM('DOE25'!L214:L217)+SUM('DOE25'!L232:L235)-F5-G5</f>
        <v>3322096.3499999996</v>
      </c>
      <c r="E5" s="243"/>
      <c r="F5" s="255">
        <f>SUM('DOE25'!J196:J199)+SUM('DOE25'!J214:J217)+SUM('DOE25'!J232:J235)</f>
        <v>47528.740000000005</v>
      </c>
      <c r="G5" s="53">
        <f>SUM('DOE25'!K196:K199)+SUM('DOE25'!K214:K217)+SUM('DOE25'!K232:K235)</f>
        <v>3375.49</v>
      </c>
      <c r="H5" s="259"/>
    </row>
    <row r="6" spans="1:9" x14ac:dyDescent="0.2">
      <c r="A6" s="32">
        <v>2100</v>
      </c>
      <c r="B6" t="s">
        <v>801</v>
      </c>
      <c r="C6" s="245">
        <f t="shared" si="0"/>
        <v>426935.49999999994</v>
      </c>
      <c r="D6" s="20">
        <f>'DOE25'!L201+'DOE25'!L219+'DOE25'!L237-F6-G6</f>
        <v>426533.68999999994</v>
      </c>
      <c r="E6" s="243"/>
      <c r="F6" s="255">
        <f>'DOE25'!J201+'DOE25'!J219+'DOE25'!J237</f>
        <v>401.81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85206.5</v>
      </c>
      <c r="D7" s="20">
        <f>'DOE25'!L202+'DOE25'!L220+'DOE25'!L238-F7-G7</f>
        <v>85206.5</v>
      </c>
      <c r="E7" s="243"/>
      <c r="F7" s="255">
        <f>'DOE25'!J202+'DOE25'!J220+'DOE25'!J238</f>
        <v>0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107598.83000000002</v>
      </c>
      <c r="D8" s="243"/>
      <c r="E8" s="20">
        <f>'DOE25'!L203+'DOE25'!L221+'DOE25'!L239-F8-G8-D9-D11</f>
        <v>104242.79000000002</v>
      </c>
      <c r="F8" s="255">
        <f>'DOE25'!J203+'DOE25'!J221+'DOE25'!J239</f>
        <v>0</v>
      </c>
      <c r="G8" s="53">
        <f>'DOE25'!K203+'DOE25'!K221+'DOE25'!K239</f>
        <v>3356.04</v>
      </c>
      <c r="H8" s="259"/>
    </row>
    <row r="9" spans="1:9" x14ac:dyDescent="0.2">
      <c r="A9" s="32">
        <v>2310</v>
      </c>
      <c r="B9" t="s">
        <v>818</v>
      </c>
      <c r="C9" s="245">
        <f t="shared" si="0"/>
        <v>19348.96</v>
      </c>
      <c r="D9" s="244">
        <v>19348.96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4000</v>
      </c>
      <c r="D10" s="243"/>
      <c r="E10" s="244">
        <v>4000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72261.17</v>
      </c>
      <c r="D11" s="244">
        <v>72261.17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321704.63</v>
      </c>
      <c r="D12" s="20">
        <f>'DOE25'!L204+'DOE25'!L222+'DOE25'!L240-F12-G12</f>
        <v>319160.91000000003</v>
      </c>
      <c r="E12" s="243"/>
      <c r="F12" s="255">
        <f>'DOE25'!J204+'DOE25'!J222+'DOE25'!J240</f>
        <v>0</v>
      </c>
      <c r="G12" s="53">
        <f>'DOE25'!K204+'DOE25'!K222+'DOE25'!K240</f>
        <v>2543.7199999999998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363404.99</v>
      </c>
      <c r="D14" s="20">
        <f>'DOE25'!L206+'DOE25'!L224+'DOE25'!L242-F14-G14</f>
        <v>345835.69</v>
      </c>
      <c r="E14" s="243"/>
      <c r="F14" s="255">
        <f>'DOE25'!J206+'DOE25'!J224+'DOE25'!J242</f>
        <v>0</v>
      </c>
      <c r="G14" s="53">
        <f>'DOE25'!K206+'DOE25'!K224+'DOE25'!K242</f>
        <v>17569.3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216186.44</v>
      </c>
      <c r="D15" s="20">
        <f>'DOE25'!L207+'DOE25'!L225+'DOE25'!L243-F15-G15</f>
        <v>216186.44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37691.279999999999</v>
      </c>
      <c r="D19" s="20">
        <f>'DOE25'!L252-F19-G19</f>
        <v>37691.279999999999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305617.44</v>
      </c>
      <c r="D22" s="243"/>
      <c r="E22" s="243"/>
      <c r="F22" s="255">
        <f>'DOE25'!L254+'DOE25'!L335</f>
        <v>305617.44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121706.8</v>
      </c>
      <c r="D29" s="20">
        <f>'DOE25'!L357+'DOE25'!L358+'DOE25'!L359-'DOE25'!I366-F29-G29</f>
        <v>121706.8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43360.78</v>
      </c>
      <c r="D31" s="20">
        <f>'DOE25'!L289+'DOE25'!L308+'DOE25'!L327+'DOE25'!L332+'DOE25'!L333+'DOE25'!L334-F31-G31</f>
        <v>43016.65</v>
      </c>
      <c r="E31" s="243"/>
      <c r="F31" s="255">
        <f>'DOE25'!J289+'DOE25'!J308+'DOE25'!J327+'DOE25'!J332+'DOE25'!J333+'DOE25'!J334</f>
        <v>0</v>
      </c>
      <c r="G31" s="53">
        <f>'DOE25'!K289+'DOE25'!K308+'DOE25'!K327+'DOE25'!K332+'DOE25'!K333+'DOE25'!K334</f>
        <v>344.13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5009044.4400000004</v>
      </c>
      <c r="E33" s="246">
        <f>SUM(E5:E31)</f>
        <v>108242.79000000002</v>
      </c>
      <c r="F33" s="246">
        <f>SUM(F5:F31)</f>
        <v>353547.99</v>
      </c>
      <c r="G33" s="246">
        <f>SUM(G5:G31)</f>
        <v>27188.68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108242.79000000002</v>
      </c>
      <c r="E35" s="249"/>
    </row>
    <row r="36" spans="2:8" ht="12" thickTop="1" x14ac:dyDescent="0.2">
      <c r="B36" t="s">
        <v>815</v>
      </c>
      <c r="D36" s="20">
        <f>D33</f>
        <v>5009044.4400000004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CAMPTON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169796.46</v>
      </c>
      <c r="D8" s="95">
        <f>'DOE25'!G9</f>
        <v>-113502.86</v>
      </c>
      <c r="E8" s="95">
        <f>'DOE25'!H9</f>
        <v>-9556.36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100</v>
      </c>
      <c r="E9" s="95">
        <f>'DOE25'!H10</f>
        <v>0</v>
      </c>
      <c r="F9" s="95">
        <f>'DOE25'!I10</f>
        <v>0</v>
      </c>
      <c r="G9" s="95">
        <f>'DOE25'!J10</f>
        <v>970.04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37023.339999999997</v>
      </c>
      <c r="D12" s="95">
        <f>'DOE25'!G13</f>
        <v>13826.12</v>
      </c>
      <c r="E12" s="95">
        <f>'DOE25'!H13</f>
        <v>9556.36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476.85</v>
      </c>
      <c r="D13" s="95">
        <f>'DOE25'!G14</f>
        <v>21678.65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207296.65</v>
      </c>
      <c r="D18" s="41">
        <f>SUM(D8:D17)</f>
        <v>-77898.09</v>
      </c>
      <c r="E18" s="41">
        <f>SUM(E8:E17)</f>
        <v>0</v>
      </c>
      <c r="F18" s="41">
        <f>SUM(F8:F17)</f>
        <v>0</v>
      </c>
      <c r="G18" s="41">
        <f>SUM(G8:G17)</f>
        <v>970.04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119308.43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3733.93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123042.35999999999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70661.42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970.04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-77898.09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13592.87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84254.29</v>
      </c>
      <c r="D49" s="41">
        <f>SUM(D34:D48)</f>
        <v>-77898.09</v>
      </c>
      <c r="E49" s="41">
        <f>SUM(E34:E48)</f>
        <v>0</v>
      </c>
      <c r="F49" s="41">
        <f>SUM(F34:F48)</f>
        <v>0</v>
      </c>
      <c r="G49" s="41">
        <f>SUM(G34:G48)</f>
        <v>970.04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207296.64999999997</v>
      </c>
      <c r="D50" s="41">
        <f>D49+D31</f>
        <v>-77898.09</v>
      </c>
      <c r="E50" s="41">
        <f>E49+E31</f>
        <v>0</v>
      </c>
      <c r="F50" s="41">
        <f>F49+F31</f>
        <v>0</v>
      </c>
      <c r="G50" s="41">
        <f>G49+G31</f>
        <v>970.04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3378220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36013.339999999997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155.96</v>
      </c>
      <c r="D58" s="95">
        <f>'DOE25'!G95</f>
        <v>2.39</v>
      </c>
      <c r="E58" s="95">
        <f>'DOE25'!H95</f>
        <v>0</v>
      </c>
      <c r="F58" s="95">
        <f>'DOE25'!I95</f>
        <v>0</v>
      </c>
      <c r="G58" s="95">
        <f>'DOE25'!J95</f>
        <v>1.75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30658.69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140389.71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176559.00999999998</v>
      </c>
      <c r="D61" s="130">
        <f>SUM(D56:D60)</f>
        <v>30661.079999999998</v>
      </c>
      <c r="E61" s="130">
        <f>SUM(E56:E60)</f>
        <v>0</v>
      </c>
      <c r="F61" s="130">
        <f>SUM(F56:F60)</f>
        <v>0</v>
      </c>
      <c r="G61" s="130">
        <f>SUM(G56:G60)</f>
        <v>1.75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3554779.01</v>
      </c>
      <c r="D62" s="22">
        <f>D55+D61</f>
        <v>30661.079999999998</v>
      </c>
      <c r="E62" s="22">
        <f>E55+E61</f>
        <v>0</v>
      </c>
      <c r="F62" s="22">
        <f>F55+F61</f>
        <v>0</v>
      </c>
      <c r="G62" s="22">
        <f>G55+G61</f>
        <v>1.75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1021270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610283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1631553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152249.43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9050.43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1409.44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161299.85999999999</v>
      </c>
      <c r="D77" s="130">
        <f>SUM(D71:D76)</f>
        <v>1409.44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1792852.8599999999</v>
      </c>
      <c r="D80" s="130">
        <f>SUM(D78:D79)+D77+D69</f>
        <v>1409.44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69172.7</v>
      </c>
      <c r="D87" s="95">
        <f>SUM('DOE25'!G152:G160)</f>
        <v>52612.51</v>
      </c>
      <c r="E87" s="95">
        <f>SUM('DOE25'!H152:H160)</f>
        <v>43360.78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2288.9299999999998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71461.62999999999</v>
      </c>
      <c r="D90" s="131">
        <f>SUM(D84:D89)</f>
        <v>52612.51</v>
      </c>
      <c r="E90" s="131">
        <f>SUM(E84:E89)</f>
        <v>43360.78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33400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246.57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246.57</v>
      </c>
      <c r="D102" s="86">
        <f>SUM(D92:D101)</f>
        <v>33400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5419340.0699999994</v>
      </c>
      <c r="D103" s="86">
        <f>D62+D80+D90+D102</f>
        <v>118083.03</v>
      </c>
      <c r="E103" s="86">
        <f>E62+E80+E90+E102</f>
        <v>43360.78</v>
      </c>
      <c r="F103" s="86">
        <f>F62+F80+F90+F102</f>
        <v>0</v>
      </c>
      <c r="G103" s="86">
        <f>G62+G80+G102</f>
        <v>1.75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2491970.7300000004</v>
      </c>
      <c r="D108" s="24" t="s">
        <v>289</v>
      </c>
      <c r="E108" s="95">
        <f>('DOE25'!L275)+('DOE25'!L294)+('DOE25'!L313)</f>
        <v>43016.65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826498.67999999993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54531.17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37691.279999999999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3410691.86</v>
      </c>
      <c r="D114" s="86">
        <f>SUM(D108:D113)</f>
        <v>0</v>
      </c>
      <c r="E114" s="86">
        <f>SUM(E108:E113)</f>
        <v>43016.65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426935.49999999994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85206.5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199208.96000000002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321704.63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344.13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363404.99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216186.44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121706.8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1612647.02</v>
      </c>
      <c r="D127" s="86">
        <f>SUM(D117:D126)</f>
        <v>121706.8</v>
      </c>
      <c r="E127" s="86">
        <f>SUM(E117:E126)</f>
        <v>344.13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305617.44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246.57</v>
      </c>
    </row>
    <row r="134" spans="1:7" x14ac:dyDescent="0.2">
      <c r="A134" t="s">
        <v>233</v>
      </c>
      <c r="B134" s="32" t="s">
        <v>234</v>
      </c>
      <c r="C134" s="95">
        <f>'DOE25'!L262</f>
        <v>33400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1.75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-1.75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339017.44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246.57</v>
      </c>
    </row>
    <row r="144" spans="1:7" ht="12.75" thickTop="1" thickBot="1" x14ac:dyDescent="0.25">
      <c r="A144" s="33" t="s">
        <v>244</v>
      </c>
      <c r="C144" s="86">
        <f>(C114+C127+C143)</f>
        <v>5362356.32</v>
      </c>
      <c r="D144" s="86">
        <f>(D114+D127+D143)</f>
        <v>121706.8</v>
      </c>
      <c r="E144" s="86">
        <f>(E114+E127+E143)</f>
        <v>43360.78</v>
      </c>
      <c r="F144" s="86">
        <f>(F114+F127+F143)</f>
        <v>0</v>
      </c>
      <c r="G144" s="86">
        <f>(G114+G127+G143)</f>
        <v>246.57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7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07/06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02/14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1950000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4.1500000000000004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550000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550000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550000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550000</v>
      </c>
    </row>
    <row r="159" spans="1:9" x14ac:dyDescent="0.2">
      <c r="A159" s="22" t="s">
        <v>36</v>
      </c>
      <c r="B159" s="137">
        <f>'DOE25'!F498</f>
        <v>22825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22825</v>
      </c>
    </row>
    <row r="160" spans="1:9" x14ac:dyDescent="0.2">
      <c r="A160" s="22" t="s">
        <v>37</v>
      </c>
      <c r="B160" s="137">
        <f>'DOE25'!F499</f>
        <v>572825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572825</v>
      </c>
    </row>
    <row r="161" spans="1:7" x14ac:dyDescent="0.2">
      <c r="A161" s="22" t="s">
        <v>38</v>
      </c>
      <c r="B161" s="137">
        <f>'DOE25'!F500</f>
        <v>280000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280000</v>
      </c>
    </row>
    <row r="162" spans="1:7" x14ac:dyDescent="0.2">
      <c r="A162" s="22" t="s">
        <v>39</v>
      </c>
      <c r="B162" s="137">
        <f>'DOE25'!F501</f>
        <v>11412.5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11412.5</v>
      </c>
    </row>
    <row r="163" spans="1:7" x14ac:dyDescent="0.2">
      <c r="A163" s="22" t="s">
        <v>246</v>
      </c>
      <c r="B163" s="137">
        <f>'DOE25'!F502</f>
        <v>291412.5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291412.5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CAMPTON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15500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15500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2534987</v>
      </c>
      <c r="D10" s="182">
        <f>ROUND((C10/$C$28)*100,1)</f>
        <v>49.1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826499</v>
      </c>
      <c r="D11" s="182">
        <f>ROUND((C11/$C$28)*100,1)</f>
        <v>16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54531</v>
      </c>
      <c r="D13" s="182">
        <f>ROUND((C13/$C$28)*100,1)</f>
        <v>1.1000000000000001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426936</v>
      </c>
      <c r="D15" s="182">
        <f t="shared" ref="D15:D27" si="0">ROUND((C15/$C$28)*100,1)</f>
        <v>8.3000000000000007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85207</v>
      </c>
      <c r="D16" s="182">
        <f t="shared" si="0"/>
        <v>1.7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199209</v>
      </c>
      <c r="D17" s="182">
        <f t="shared" si="0"/>
        <v>3.9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321705</v>
      </c>
      <c r="D18" s="182">
        <f t="shared" si="0"/>
        <v>6.2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344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363405</v>
      </c>
      <c r="D20" s="182">
        <f t="shared" si="0"/>
        <v>7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216186</v>
      </c>
      <c r="D21" s="182">
        <f t="shared" si="0"/>
        <v>4.2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37691</v>
      </c>
      <c r="D24" s="182">
        <f t="shared" si="0"/>
        <v>0.7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91048.31</v>
      </c>
      <c r="D27" s="182">
        <f t="shared" si="0"/>
        <v>1.8</v>
      </c>
    </row>
    <row r="28" spans="1:4" x14ac:dyDescent="0.2">
      <c r="B28" s="187" t="s">
        <v>723</v>
      </c>
      <c r="C28" s="180">
        <f>SUM(C10:C27)</f>
        <v>5157748.3099999996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305617</v>
      </c>
    </row>
    <row r="30" spans="1:4" x14ac:dyDescent="0.2">
      <c r="B30" s="187" t="s">
        <v>729</v>
      </c>
      <c r="C30" s="180">
        <f>SUM(C28:C29)</f>
        <v>5463365.3099999996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3378220</v>
      </c>
      <c r="D35" s="182">
        <f t="shared" ref="D35:D40" si="1">ROUND((C35/$C$41)*100,1)</f>
        <v>61.2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176563.14999999991</v>
      </c>
      <c r="D36" s="182">
        <f t="shared" si="1"/>
        <v>3.2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1631553</v>
      </c>
      <c r="D37" s="182">
        <f t="shared" si="1"/>
        <v>29.6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162709</v>
      </c>
      <c r="D38" s="182">
        <f t="shared" si="1"/>
        <v>2.9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167435</v>
      </c>
      <c r="D39" s="182">
        <f t="shared" si="1"/>
        <v>3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5516480.1500000004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CAMPTON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2013-10-10T14:22:38Z</cp:lastPrinted>
  <dcterms:created xsi:type="dcterms:W3CDTF">1997-12-04T19:04:30Z</dcterms:created>
  <dcterms:modified xsi:type="dcterms:W3CDTF">2013-10-10T14:22:53Z</dcterms:modified>
</cp:coreProperties>
</file>